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Assumptions" sheetId="2" state="visible" r:id="rId4"/>
    <sheet name="Debt" sheetId="3" state="visible" r:id="rId5"/>
    <sheet name="Preferreds" sheetId="4" state="visible" r:id="rId6"/>
    <sheet name="Other_Liab" sheetId="5" state="visible" r:id="rId7"/>
    <sheet name="Waterfall" sheetId="6" state="visible" r:id="rId8"/>
    <sheet name="BTC_Sensitivity" sheetId="7" state="visible" r:id="rId9"/>
    <sheet name="BreakEvens" sheetId="8" state="visible" r:id="rId10"/>
    <sheet name="Scenario_Matrix" sheetId="9" state="visible" r:id="rId11"/>
    <sheet name="Going_Concern" sheetId="10" state="visible" r:id="rId12"/>
    <sheet name="Dynamic_Issuance" sheetId="11" state="visible" r:id="rId13"/>
    <sheet name="Charts" sheetId="12" state="visible" r:id="rId14"/>
    <sheet name="Sources" sheetId="13" state="visible" r:id="rId1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<sst xmlns="http://schemas.openxmlformats.org/spreadsheetml/2006/main" count="544" uniqueCount="485">
  <si>
    <t xml:space="preserve">STRC Recovery &amp; Bitcoin Sensitivity Model — Strategy Inc (MSTR)</t>
  </si>
  <si>
    <t xml:space="preserve">Built 10-Jul-2026 · All $ figures in USD millions unless noted · Priority: Debt &gt; STRF &gt; STRC &gt; STRE &gt; STRK &gt; STRD &gt; Common</t>
  </si>
  <si>
    <t xml:space="preserve">PURPOSE</t>
  </si>
  <si>
    <t xml:space="preserve">Estimates, at any Bitcoin price, whether Strategy's asset value covers STRC's liquidation preference after all senior claims, plus going-concern dividend sustainability and capital-stack-migration risk.</t>
  </si>
  <si>
    <t xml:space="preserve">TAB MAP</t>
  </si>
  <si>
    <t xml:space="preserve">Assumptions</t>
  </si>
  <si>
    <t xml:space="preserve">Every scenario lever. Blue = hardcoded input; yellow fill = estimate to refresh (BTC spot, STRC shares, FX, market prices).</t>
  </si>
  <si>
    <t xml:space="preserve">Debt</t>
  </si>
  <si>
    <t xml:space="preserve">Security-by-security senior debt: 6 convertible notes + small secured loan. Source: 10-Q 3/31/26, Note 5.</t>
  </si>
  <si>
    <t xml:space="preserve">Preferreds</t>
  </si>
  <si>
    <t xml:space="preserve">All 5 series with shares, liquidation preference, rates, ranking. STRC share count is an ESTIMATE (see cell note).</t>
  </si>
  <si>
    <t xml:space="preserve">Other_Liab</t>
  </si>
  <si>
    <t xml:space="preserve">Non-debt liabilities senior to preferred (3/31/26 balance sheet).</t>
  </si>
  <si>
    <t xml:space="preserve">Waterfall</t>
  </si>
  <si>
    <t xml:space="preserve">Single-scenario liquidation engine at the Assumptions BTC price. Core output block: STRC recovery, coverage, break-even.</t>
  </si>
  <si>
    <t xml:space="preserve">BTC_Sensitivity</t>
  </si>
  <si>
    <t xml:space="preserve">17 BTC price scenarios ($20k-$200k) + shocks (0% to -80% from spot), full waterfall per row.</t>
  </si>
  <si>
    <t xml:space="preserve">BreakEvens</t>
  </si>
  <si>
    <t xml:space="preserve">Closed-form BTC thresholds: debt covered, STRC 0/50/75/90/100%, all preferred covered, common zero. Tax-aware.</t>
  </si>
  <si>
    <t xml:space="preserve">Scenario_Matrix</t>
  </si>
  <si>
    <t xml:space="preserve">STRC recovery % grid: BTC price x haircut (100-80%) x costs (2/5/10% of gross), plus a fixed-$ cost grid.</t>
  </si>
  <si>
    <t xml:space="preserve">Going_Concern</t>
  </si>
  <si>
    <t xml:space="preserve">Fixed charges ($1.71bn modelled vs $1.76bn company-stated), USD Reserve runway, and the BTC-funded dividend runway: years Strategy can pay all dividends + interest from BTC sales under four definitions (BTC-only, +cash, after-debt, keeping STRC coverage &gt;= 1x), at every BTC price.</t>
  </si>
  <si>
    <t xml:space="preserve">Dynamic_Issuance</t>
  </si>
  <si>
    <t xml:space="preserve">Adds $2/5/10bn of senior or pari (new STRC) claims, proceeds to BTC vs burned; new break-evens and recoveries.</t>
  </si>
  <si>
    <t xml:space="preserve">Charts</t>
  </si>
  <si>
    <t xml:space="preserve">Seven charts with aligned axes (all BTC axes $0-200k in $ thousands): STRC recovery % and $/share, full-waterfall tier comparison, coverage, residual common ($bn), dividend-runway years, and break-even vs issuance.</t>
  </si>
  <si>
    <t xml:space="preserve">Sources</t>
  </si>
  <si>
    <t xml:space="preserve">Citation for every material capital-stack figure.</t>
  </si>
  <si>
    <t xml:space="preserve">CORE FORMULAS</t>
  </si>
  <si>
    <t xml:space="preserve">Distributable value</t>
  </si>
  <si>
    <t xml:space="preserve">Distributable = BTCheld x Price x Haircut / 1e6  -  Costs  -  Tax  +  Cash;   Costs = c% x GrossBTC (or fixed $);   Tax = t x max(0, Realized - CostBasis)</t>
  </si>
  <si>
    <t xml:space="preserve">Tier recovery</t>
  </si>
  <si>
    <t xml:space="preserve">TierRecovery = MAX(0, MIN(TierClaim, Distributable - CumClaimsSeniorToTier))</t>
  </si>
  <si>
    <t xml:space="preserve">STRC 100% break-even (no-tax region)</t>
  </si>
  <si>
    <t xml:space="preserve">P* = (CumClaims-through-STRC - Cash) x 1e6 / (BTCheld x (Haircut - Cost%))</t>
  </si>
  <si>
    <t xml:space="preserve">With realized gains tax (P x h &gt; basis/coin)</t>
  </si>
  <si>
    <t xml:space="preserve">P* = (Claims - Cash - t x Basis) x 1e6 / (BTCheld x (Haircut x (1-t) - Cost%))</t>
  </si>
  <si>
    <t xml:space="preserve">Issuance of S senior, proceeds to BTC at P0</t>
  </si>
  <si>
    <t xml:space="preserve">P* = (Claims + S - Cash) x 1e6 / ((BTCheld + S x 1e6/P0) x (Haircut - Cost%))</t>
  </si>
  <si>
    <t xml:space="preserve">KEY MODELLING RULES APPLIED</t>
  </si>
  <si>
    <t xml:space="preserve">1</t>
  </si>
  <si>
    <t xml:space="preserve">Preferred claims = shares x contractual liquidation preference (not market cap, not carrying value).</t>
  </si>
  <si>
    <t xml:space="preserve">2</t>
  </si>
  <si>
    <t xml:space="preserve">Liquidation preference of STRF/STRC/STRE/STRD = greater of $100 (E100) or market-linked value; $100 used since all trade below par. STRK fixed $100.</t>
  </si>
  <si>
    <t xml:space="preserve">3</t>
  </si>
  <si>
    <t xml:space="preserve">No preferred is secured by BTC; all rank behind every liability. STRC is NOT an ABS; recovery is a corporate residual claim.</t>
  </si>
  <si>
    <t xml:space="preserve">4</t>
  </si>
  <si>
    <t xml:space="preserve">Converts and trade payables legally rank pari passu as general unsecured; shown as separate tiers 3-4 for presentation (identical result).</t>
  </si>
  <si>
    <t xml:space="preserve">5</t>
  </si>
  <si>
    <t xml:space="preserve">Tax on liquidation only binds when realized price &gt; ~$75.5k avg cost basis (currently underwater; DTL reversed, DTA fully valuation-allowanced).</t>
  </si>
  <si>
    <t xml:space="preserve">6</t>
  </si>
  <si>
    <t xml:space="preserve">Bloomberg DDIS figures in the source screenshots do NOT tie to filings (see Sources tab reconciliation); filings control.</t>
  </si>
  <si>
    <t xml:space="preserve">REFRESH LIST (yellow cells)</t>
  </si>
  <si>
    <t xml:space="preserve">Assumptions!B5 BTC spot · Preferreds!C5 STRC shares (update from next 10-Q / weekly 8-Ks) · Assumptions!B9 EURUSD · Preferreds!O4:O8 market prices · Assumptions!B14 cash.</t>
  </si>
  <si>
    <t xml:space="preserve">Assumptions &amp; Scenario Levers</t>
  </si>
  <si>
    <t xml:space="preserve">Blue = input · Yellow = estimate, refresh from Bloomberg / next filing · Black = formula</t>
  </si>
  <si>
    <t xml:space="preserve">Market &amp; Bitcoin</t>
  </si>
  <si>
    <t xml:space="preserve">Bitcoin spot price ($/BTC)</t>
  </si>
  <si>
    <t xml:space="preserve">Input. ~$63.2-64.4k range 10-Jul-26 (CoinGecko/Yahoo). Refresh live.</t>
  </si>
  <si>
    <t xml:space="preserve">BTC held (coins)</t>
  </si>
  <si>
    <t xml:space="preserve">As of 5-Jul-2026 per 8-K filed 6-Jul-2026 (after 3,588 BTC sold for dividends).</t>
  </si>
  <si>
    <t xml:space="preserve">Aggregate BTC cost basis ($M)</t>
  </si>
  <si>
    <t xml:space="preserve">$63.69bn aggregate purchase price incl. fees, 8-K 6-Jul-2026. Tax basis proxy.</t>
  </si>
  <si>
    <t xml:space="preserve">Implied average cost ($/BTC)</t>
  </si>
  <si>
    <t xml:space="preserve">Company-stated $75,476.</t>
  </si>
  <si>
    <t xml:space="preserve">EURUSD (for STRE)</t>
  </si>
  <si>
    <t xml:space="preserve">Estimate — refresh from terminal.</t>
  </si>
  <si>
    <t xml:space="preserve">MSTR share price ($)</t>
  </si>
  <si>
    <t xml:space="preserve">Bloomberg screenshot 10-Jul-26 intraday.</t>
  </si>
  <si>
    <t xml:space="preserve">MSTR market capitalization ($M)</t>
  </si>
  <si>
    <t xml:space="preserve">Bloomberg FA 'Cap mercado'.</t>
  </si>
  <si>
    <t xml:space="preserve">Liquid assets</t>
  </si>
  <si>
    <t xml:space="preserve">Cash / USD Reserve ($M)</t>
  </si>
  <si>
    <t xml:space="preserve">$2.55bn USD Reserve as of 5-Jul-26 (8-K). Policy floor = 12 months of dividends + interest.</t>
  </si>
  <si>
    <t xml:space="preserve">Liquidation parameters</t>
  </si>
  <si>
    <t xml:space="preserve">BTC liquidation haircut (base, % of quote realized)</t>
  </si>
  <si>
    <t xml:space="preserve">Base = 100%. Scenario_Matrix runs 100/95/90/85/80%.</t>
  </si>
  <si>
    <t xml:space="preserve">Liquidation, admin &amp; bankruptcy costs (% of gross BTC value)</t>
  </si>
  <si>
    <t xml:space="preserve">Base 5%. Low 2% / Severe 10% run in Scenario_Matrix and BreakEvens.</t>
  </si>
  <si>
    <t xml:space="preserve">Fixed-dollar cost alternative ($M)</t>
  </si>
  <si>
    <t xml:space="preserve">Used when B20 = 1. Fixed-$ grid runs 250/500/1,000.</t>
  </si>
  <si>
    <t xml:space="preserve">Use fixed-dollar costs? (1 = yes, 0 = % of gross)</t>
  </si>
  <si>
    <t xml:space="preserve">Apply tax on realized BTC gains in liquidation? (1 = yes)</t>
  </si>
  <si>
    <t xml:space="preserve">Only binds when realized price &gt; basis (~$75.5k). Below that, sales realize losses; no tax.</t>
  </si>
  <si>
    <t xml:space="preserve">Tax rate on realized gains</t>
  </si>
  <si>
    <t xml:space="preserve">21% federal; add state as desired. DTL was $1.4M at 3/31/26 (BTC underwater).</t>
  </si>
  <si>
    <t xml:space="preserve">Include deferred revenue as a liquidation claim? (1 = yes)</t>
  </si>
  <si>
    <t xml:space="preserve">$236M. Conservative: customer claims for undelivered software/services.</t>
  </si>
  <si>
    <t xml:space="preserve">Going concern</t>
  </si>
  <si>
    <t xml:space="preserve">Software business cash burn, pre-financing ($M/yr)</t>
  </si>
  <si>
    <t xml:space="preserve">Q1-26: gross profit $83.4M vs cash opex ~$98M -&gt; ~-$15M/qtr.</t>
  </si>
  <si>
    <t xml:space="preserve">Secured debt interest rate</t>
  </si>
  <si>
    <t xml:space="preserve">Derived (do not edit)</t>
  </si>
  <si>
    <t xml:space="preserve">Gross BTC market value ($M)</t>
  </si>
  <si>
    <t xml:space="preserve">Unrealized gain / (loss) on BTC ($M)</t>
  </si>
  <si>
    <t xml:space="preserve">BTC value as % of cost basis</t>
  </si>
  <si>
    <t xml:space="preserve">Senior Debt — Security by Security</t>
  </si>
  <si>
    <t xml:space="preserve">Source: 10-Q for Q1-2026 (filed May 2026), Note 5. All convertibles are senior unsecured; conversion strikes are far out of the money at MSTR ~$94.</t>
  </si>
  <si>
    <t xml:space="preserve">Security</t>
  </si>
  <si>
    <t xml:space="preserve">Principal ($M)</t>
  </si>
  <si>
    <t xml:space="preserve">Coupon</t>
  </si>
  <si>
    <t xml:space="preserve">Stated maturity</t>
  </si>
  <si>
    <t xml:space="preserve">Effective wall (put-adjusted FY)</t>
  </si>
  <si>
    <t xml:space="preserve">Secured?</t>
  </si>
  <si>
    <t xml:space="preserve">Seniority</t>
  </si>
  <si>
    <t xml:space="preserve">Conv. price ($/sh)</t>
  </si>
  <si>
    <t xml:space="preserve">Annual interest ($M)</t>
  </si>
  <si>
    <t xml:space="preserve">Claim ahead of STRC?</t>
  </si>
  <si>
    <t xml:space="preserve">Notes</t>
  </si>
  <si>
    <t xml:space="preserve">2028 Convertible Notes</t>
  </si>
  <si>
    <t xml:space="preserve">Sep-2028</t>
  </si>
  <si>
    <t xml:space="preserve">FY2028</t>
  </si>
  <si>
    <t xml:space="preserve">No</t>
  </si>
  <si>
    <t xml:space="preserve">Senior unsecured</t>
  </si>
  <si>
    <t xml:space="preserve">Yes</t>
  </si>
  <si>
    <t xml:space="preserve">Deep OTM; no early put shown before maturity</t>
  </si>
  <si>
    <t xml:space="preserve">2029 Convertible Notes</t>
  </si>
  <si>
    <t xml:space="preserve">Dec-2029</t>
  </si>
  <si>
    <t xml:space="preserve">FY2029</t>
  </si>
  <si>
    <t xml:space="preserve">Bloomberg DDIS shows only $1.5bn — filing says $3.0bn (see Sources)</t>
  </si>
  <si>
    <t xml:space="preserve">2030A Convertible Notes</t>
  </si>
  <si>
    <t xml:space="preserve">Mar-2030</t>
  </si>
  <si>
    <t xml:space="preserve">FY2029 (put)</t>
  </si>
  <si>
    <t xml:space="preserve">Holder put pulls economic maturity into 2029</t>
  </si>
  <si>
    <t xml:space="preserve">2030B Convertible Notes</t>
  </si>
  <si>
    <t xml:space="preserve">FY2028 (put)</t>
  </si>
  <si>
    <t xml:space="preserve">Holder put pulls economic maturity into 2028</t>
  </si>
  <si>
    <t xml:space="preserve">2031 Convertible Notes</t>
  </si>
  <si>
    <t xml:space="preserve">2031</t>
  </si>
  <si>
    <t xml:space="preserve">2032 Convertible Notes</t>
  </si>
  <si>
    <t xml:space="preserve">Jun-2032</t>
  </si>
  <si>
    <t xml:space="preserve">FY2030 (put)</t>
  </si>
  <si>
    <t xml:space="preserve">Other long-term secured debt</t>
  </si>
  <si>
    <t xml:space="preserve">2026-2027</t>
  </si>
  <si>
    <t xml:space="preserve">FY2027</t>
  </si>
  <si>
    <t xml:space="preserve">Yes (non-BTC assets)</t>
  </si>
  <si>
    <t xml:space="preserve">Secured — effectively senior</t>
  </si>
  <si>
    <t xml:space="preserve">Two small loans secured by non-bitcoin assets; NOT secured by BTC.</t>
  </si>
  <si>
    <t xml:space="preserve">Total convertible notes</t>
  </si>
  <si>
    <t xml:space="preserve">Total debt principal</t>
  </si>
  <si>
    <t xml:space="preserve">Accrued interest (3/31/26)</t>
  </si>
  <si>
    <t xml:space="preserve">Total debt claim (principal + accrued)</t>
  </si>
  <si>
    <t xml:space="preserve">  of which: secured tier</t>
  </si>
  <si>
    <t xml:space="preserve">  of which: senior unsecured tier (converts + accrued)</t>
  </si>
  <si>
    <t xml:space="preserve">Put rights: 10-Q maturity table presents principal as if holders exercise their noncontingent put; economic wall is ~$3.0bn FY2028, ~$4.4bn FY2029, ~$0.8bn FY2030.</t>
  </si>
  <si>
    <t xml:space="preserve">Conversion: all notes settle in cash/shares at company election; strikes $149.77-$672.40 vs MSTR ~$94 mean the converts behave as straight debt today.</t>
  </si>
  <si>
    <t xml:space="preserve">Preferred Stock — All Five Series (ranked senior to junior)</t>
  </si>
  <si>
    <t xml:space="preserve">Ranking per certificates of designations / prospectuses: STRF &gt; STRC &gt; STRE &gt; STRK &gt; STRD. No pari passu stock to STRC exists (424B5, Mar-2026).</t>
  </si>
  <si>
    <t xml:space="preserve">Ticker</t>
  </si>
  <si>
    <t xml:space="preserve">Series</t>
  </si>
  <si>
    <t xml:space="preserve">Shares outstanding</t>
  </si>
  <si>
    <t xml:space="preserve">Liq. pref / share</t>
  </si>
  <si>
    <t xml:space="preserve">Ccy</t>
  </si>
  <si>
    <t xml:space="preserve">FX</t>
  </si>
  <si>
    <t xml:space="preserve">Total liq. preference ($M)</t>
  </si>
  <si>
    <t xml:space="preserve">Dividend rate</t>
  </si>
  <si>
    <t xml:space="preserve">Annual dividends ($M)</t>
  </si>
  <si>
    <t xml:space="preserve">Cumulative?</t>
  </si>
  <si>
    <t xml:space="preserve">Rank vs STRC</t>
  </si>
  <si>
    <t xml:space="preserve">Tier</t>
  </si>
  <si>
    <t xml:space="preserve">Redemption / call</t>
  </si>
  <si>
    <t xml:space="preserve">Conversion</t>
  </si>
  <si>
    <t xml:space="preserve">Market price ($)</t>
  </si>
  <si>
    <t xml:space="preserve">Notes / source</t>
  </si>
  <si>
    <t xml:space="preserve">STRF</t>
  </si>
  <si>
    <t xml:space="preserve">10.00% Series A Perpetual Strife</t>
  </si>
  <si>
    <t xml:space="preserve">USD</t>
  </si>
  <si>
    <t xml:space="preserve">Yes (arrears compound, +100bp/qtr, 18% cap)</t>
  </si>
  <si>
    <t xml:space="preserve">Senior</t>
  </si>
  <si>
    <t xml:space="preserve">Co. call rights per cert.; fundamental-change put</t>
  </si>
  <si>
    <t xml:space="preserve">None</t>
  </si>
  <si>
    <t xml:space="preserve">Shares as of 19-Mar-26 (424B5); assumed unchanged — STRF ATM inactive in 2026. PRICE = PLACEHOLDER.</t>
  </si>
  <si>
    <t xml:space="preserve">STRC</t>
  </si>
  <si>
    <t xml:space="preserve">Variable Rate Series A Perpetual Stretch</t>
  </si>
  <si>
    <t xml:space="preserve">Yes (cumulative; monthly rate set by board)</t>
  </si>
  <si>
    <t xml:space="preserve">—</t>
  </si>
  <si>
    <t xml:space="preserve">Callable any time at $101 + accrued; tax/fundamental-change put</t>
  </si>
  <si>
    <t xml:space="preserve">ESTIMATE: 50.25M sh at 3/31/26 -&gt; ~85M at 3-May ($8.5bn co-stated) -&gt; ~96-104M now; 100M used (ties to co's $1.76bn fixed-charge figure). Price = 3-Jul-26 close.</t>
  </si>
  <si>
    <t xml:space="preserve">STRE</t>
  </si>
  <si>
    <t xml:space="preserve">10.00% Series A Perpetual Stream (EUR)</t>
  </si>
  <si>
    <t xml:space="preserve">EUR</t>
  </si>
  <si>
    <t xml:space="preserve">Junior</t>
  </si>
  <si>
    <t xml:space="preserve">Non-callable except tax event / &lt;25% outstanding; fundamental-change put</t>
  </si>
  <si>
    <t xml:space="preserve">7,750,000 sh as of 19-Mar-26 (424B5). E100 stated. LuxSE listed. PRICE = PLACEHOLDER (EUR).</t>
  </si>
  <si>
    <t xml:space="preserve">STRK</t>
  </si>
  <si>
    <t xml:space="preserve">8.00% Series A Perpetual Strike</t>
  </si>
  <si>
    <t xml:space="preserve">Yes (payable in cash or class A stock)</t>
  </si>
  <si>
    <t xml:space="preserve">Co. call rights per cert.</t>
  </si>
  <si>
    <t xml:space="preserve">0.10 sh MSTR per share (conv. $1,000)</t>
  </si>
  <si>
    <t xml:space="preserve">Shares as of 19-Mar-26 (424B5). Fixed $100 liq pref. PRICE = PLACEHOLDER.</t>
  </si>
  <si>
    <t xml:space="preserve">STRD</t>
  </si>
  <si>
    <t xml:space="preserve">10.00% Series A Perpetual Stride</t>
  </si>
  <si>
    <t xml:space="preserve">NO — non-cumulative (declared-only in liquidation)</t>
  </si>
  <si>
    <t xml:space="preserve">Shares as of 19-Mar-26 (424B5). Junior-most preferred. PRICE = PLACEHOLDER.</t>
  </si>
  <si>
    <t xml:space="preserve">Total preferred</t>
  </si>
  <si>
    <t xml:space="preserve">Accumulated unpaid (arrears) dividends: $0 assumed — 23 consecutive distributions paid on time and in full through May-2026; Q2 dividends funded by BTC sales in Jul-2026.</t>
  </si>
  <si>
    <t xml:space="preserve">Declared-but-unpaid dividends payable of $48.2M (3/31/26) are carried in Other_Liab to avoid double counting. STRC rate: 11.0% Jan / 11.25% Feb / 11.5% Mar-Jun / 12.0% from 1-Jul-26 record dates (semi-monthly).</t>
  </si>
  <si>
    <t xml:space="preserve">Liquidation preference ratchet: STRF/STRC/STRE/STRD liq pref = greater of stated $100 (E100) or a market-linked value; $100 governs while below par. STRK fixed at $100.</t>
  </si>
  <si>
    <t xml:space="preserve">Other Liabilities Senior to Preferred</t>
  </si>
  <si>
    <t xml:space="preserve">Balance sheet 3/31/26 (10-Q). Legally pari passu with senior unsecured notes as general unsecured claims.</t>
  </si>
  <si>
    <t xml:space="preserve">Item</t>
  </si>
  <si>
    <t xml:space="preserve">Amount ($M)</t>
  </si>
  <si>
    <t xml:space="preserve">Accounts payable, accrued expenses &amp; current op. leases</t>
  </si>
  <si>
    <t xml:space="preserve">Accrued compensation &amp; employee benefits</t>
  </si>
  <si>
    <t xml:space="preserve">Preferred dividends payable (declared, unpaid)</t>
  </si>
  <si>
    <t xml:space="preserve">Becomes a fixed claim once declared; kept here, not in Preferreds, to avoid double count.</t>
  </si>
  <si>
    <t xml:space="preserve">Deferred revenue &amp; advance payments (current + LT)</t>
  </si>
  <si>
    <t xml:space="preserve">Included only if Assumptions!B23 = 1 (customer claims for undelivered services).</t>
  </si>
  <si>
    <t xml:space="preserve">Operating lease liabilities (non-current)</t>
  </si>
  <si>
    <t xml:space="preserve">Bankruptcy lease-rejection caps would likely reduce this; conservative at face.</t>
  </si>
  <si>
    <t xml:space="preserve">Other long-term liabilities</t>
  </si>
  <si>
    <t xml:space="preserve">Deferred tax liabilities</t>
  </si>
  <si>
    <t xml:space="preserve">Near zero: BTC underwater at 3/31/26, DTL reversed; $1.73bn DTA fully valuation-allowanced.</t>
  </si>
  <si>
    <t xml:space="preserve">Total other liabilities (claim used in waterfall)</t>
  </si>
  <si>
    <t xml:space="preserve">Excluded: incremental taxes on liquidation BTC sales are modelled dynamically on Waterfall/BreakEvens (tax = rate x max(0, realized - $63.69bn basis)).</t>
  </si>
  <si>
    <t xml:space="preserve">Liquidation Waterfall — Single Scenario Engine</t>
  </si>
  <si>
    <t xml:space="preserve">Runs at the Assumptions BTC price. Every figure is a formula; change Assumptions and everything reprices.</t>
  </si>
  <si>
    <t xml:space="preserve">Bitcoin price ($/BTC)</t>
  </si>
  <si>
    <t xml:space="preserve">Gross BTC market value</t>
  </si>
  <si>
    <t xml:space="preserve">Liquidation haircut</t>
  </si>
  <si>
    <t xml:space="preserve">Realized BTC proceeds</t>
  </si>
  <si>
    <t xml:space="preserve">Less: liquidation / admin / bankruptcy costs (Tier 1)</t>
  </si>
  <si>
    <t xml:space="preserve">Less: tax on realized gains</t>
  </si>
  <si>
    <t xml:space="preserve">Plus: cash / USD Reserve</t>
  </si>
  <si>
    <t xml:space="preserve">DISTRIBUTABLE VALUE</t>
  </si>
  <si>
    <t xml:space="preserve">Tier / claimant</t>
  </si>
  <si>
    <t xml:space="preserve">Claim ($M)</t>
  </si>
  <si>
    <t xml:space="preserve">Cumulative claims ($M)</t>
  </si>
  <si>
    <t xml:space="preserve">Recovery ($M)</t>
  </si>
  <si>
    <t xml:space="preserve">Recovery %</t>
  </si>
  <si>
    <t xml:space="preserve">Tier 2 — Secured debt (non-BTC collateral)</t>
  </si>
  <si>
    <t xml:space="preserve">Tier 3 — Senior unsecured convertible notes + accrued interest</t>
  </si>
  <si>
    <t xml:space="preserve">Tier 4 — Other liabilities (legally pari with Tier 3)</t>
  </si>
  <si>
    <t xml:space="preserve">Tier 5 — STRF 10.00% Strife preferred</t>
  </si>
  <si>
    <t xml:space="preserve">Tier 6 — STRC Variable Rate Stretch preferred</t>
  </si>
  <si>
    <t xml:space="preserve">Tier 7 — STRE 10.00% Stream preferred (EUR)</t>
  </si>
  <si>
    <t xml:space="preserve">Tier 8 — STRK 8.00% Strike preferred (convertible)</t>
  </si>
  <si>
    <t xml:space="preserve">Tier 9 — STRD 10.00% Stride preferred (non-cumulative)</t>
  </si>
  <si>
    <t xml:space="preserve">Total claims</t>
  </si>
  <si>
    <t xml:space="preserve">Tier 10 — Residual to common equity (MSTR)</t>
  </si>
  <si>
    <t xml:space="preserve">n/a</t>
  </si>
  <si>
    <t xml:space="preserve">STRC answer block</t>
  </si>
  <si>
    <t xml:space="preserve">STRC claim (liquidation preference)</t>
  </si>
  <si>
    <t xml:space="preserve">STRC recovery ($M)</t>
  </si>
  <si>
    <t xml:space="preserve">STRC recovery %</t>
  </si>
  <si>
    <t xml:space="preserve">STRC recovery value per share ($)</t>
  </si>
  <si>
    <t xml:space="preserve">STRC market price ($)</t>
  </si>
  <si>
    <t xml:space="preserve">Upside / (downside) of liquidation recovery vs market</t>
  </si>
  <si>
    <t xml:space="preserve">STRC asset coverage (value at STRC tier / STRC claim)</t>
  </si>
  <si>
    <t xml:space="preserve">BTC price for 100% STRC recovery ($/BTC)</t>
  </si>
  <si>
    <t xml:space="preserve">Distance to STRC principal impairment (% BTC can fall)</t>
  </si>
  <si>
    <t xml:space="preserve">Note: break-even in B33 uses the no-tax closed form (valid because the threshold sits far below the ~$75.5k tax basis). BreakEvens tab carries the tax-aware version.</t>
  </si>
  <si>
    <t xml:space="preserve">Bitcoin Sensitivity — Full Waterfall per Price</t>
  </si>
  <si>
    <t xml:space="preserve">Base haircut / cost / tax settings from Assumptions apply to every row. Rows 6-22: absolute prices. Rows 24-32: % shocks from spot.</t>
  </si>
  <si>
    <t xml:space="preserve">Scenario</t>
  </si>
  <si>
    <t xml:space="preserve">BTC price ($)</t>
  </si>
  <si>
    <t xml:space="preserve">Gross BTC ($M)</t>
  </si>
  <si>
    <t xml:space="preserve">Realized after haircut ($M)</t>
  </si>
  <si>
    <t xml:space="preserve">Costs ($M)</t>
  </si>
  <si>
    <t xml:space="preserve">Tax ($M)</t>
  </si>
  <si>
    <t xml:space="preserve">Distributable incl. cash ($M)</t>
  </si>
  <si>
    <t xml:space="preserve">Debt recovery %</t>
  </si>
  <si>
    <t xml:space="preserve">Other liab. recovery %</t>
  </si>
  <si>
    <t xml:space="preserve">STRF recovery %</t>
  </si>
  <si>
    <t xml:space="preserve">STRC $/share</t>
  </si>
  <si>
    <t xml:space="preserve">STRC vs market</t>
  </si>
  <si>
    <t xml:space="preserve">STRC coverage (x)</t>
  </si>
  <si>
    <t xml:space="preserve">STRE recovery %</t>
  </si>
  <si>
    <t xml:space="preserve">STRK recovery %</t>
  </si>
  <si>
    <t xml:space="preserve">STRD recovery %</t>
  </si>
  <si>
    <t xml:space="preserve">Residual to common ($M)</t>
  </si>
  <si>
    <t xml:space="preserve">$20,000</t>
  </si>
  <si>
    <t xml:space="preserve">$25,000</t>
  </si>
  <si>
    <t xml:space="preserve">$30,000</t>
  </si>
  <si>
    <t xml:space="preserve">$35,000</t>
  </si>
  <si>
    <t xml:space="preserve">$40,000</t>
  </si>
  <si>
    <t xml:space="preserve">$45,000</t>
  </si>
  <si>
    <t xml:space="preserve">$50,000</t>
  </si>
  <si>
    <t xml:space="preserve">$55,000</t>
  </si>
  <si>
    <t xml:space="preserve">$60,000</t>
  </si>
  <si>
    <t xml:space="preserve">$65,000</t>
  </si>
  <si>
    <t xml:space="preserve">$70,000</t>
  </si>
  <si>
    <t xml:space="preserve">$80,000</t>
  </si>
  <si>
    <t xml:space="preserve">$90,000</t>
  </si>
  <si>
    <t xml:space="preserve">$100,000</t>
  </si>
  <si>
    <t xml:space="preserve">$125,000</t>
  </si>
  <si>
    <t xml:space="preserve">$150,000</t>
  </si>
  <si>
    <t xml:space="preserve">$200,000</t>
  </si>
  <si>
    <t xml:space="preserve">Shocks from current spot</t>
  </si>
  <si>
    <t xml:space="preserve">Spot (0%)</t>
  </si>
  <si>
    <t xml:space="preserve">-10% shock</t>
  </si>
  <si>
    <t xml:space="preserve">-20% shock</t>
  </si>
  <si>
    <t xml:space="preserve">-30% shock</t>
  </si>
  <si>
    <t xml:space="preserve">-40% shock</t>
  </si>
  <si>
    <t xml:space="preserve">-50% shock</t>
  </si>
  <si>
    <t xml:space="preserve">-60% shock</t>
  </si>
  <si>
    <t xml:space="preserve">-70% shock</t>
  </si>
  <si>
    <t xml:space="preserve">-80% shock</t>
  </si>
  <si>
    <t xml:space="preserve">Break-even Bitcoin Prices</t>
  </si>
  <si>
    <t xml:space="preserve">Closed-form thresholds under base haircut/cost settings. Tax branch activates automatically when a threshold would sit above the ~$75.5k basis.</t>
  </si>
  <si>
    <t xml:space="preserve">Haircut</t>
  </si>
  <si>
    <t xml:space="preserve">Cost %</t>
  </si>
  <si>
    <t xml:space="preserve">Fixed cost ($M)</t>
  </si>
  <si>
    <t xml:space="preserve">Tax x toggle</t>
  </si>
  <si>
    <t xml:space="preserve">Threshold</t>
  </si>
  <si>
    <t xml:space="preserve">Claims through threshold ($M)</t>
  </si>
  <si>
    <t xml:space="preserve">Break-even BTC price — % -of-gross costs ($)</t>
  </si>
  <si>
    <t xml:space="preserve">Break-even BTC price — fixed-$ costs ($)</t>
  </si>
  <si>
    <t xml:space="preserve">Move from spot to reach threshold</t>
  </si>
  <si>
    <t xml:space="preserve">All debt fully covered (secured + converts + accrued)</t>
  </si>
  <si>
    <t xml:space="preserve">All liabilities covered (debt + other liabilities)</t>
  </si>
  <si>
    <t xml:space="preserve">All claims senior to STRC covered (incl. STRF)  =  STRC 0% floor</t>
  </si>
  <si>
    <t xml:space="preserve">Below this, STRC recovers nothing.</t>
  </si>
  <si>
    <t xml:space="preserve">STRC 50% of liquidation preference</t>
  </si>
  <si>
    <t xml:space="preserve">STRC 75%</t>
  </si>
  <si>
    <t xml:space="preserve">STRC 90%</t>
  </si>
  <si>
    <t xml:space="preserve">STRC 100% — full liquidation preference</t>
  </si>
  <si>
    <t xml:space="preserve">Principal impairment begins below this price.</t>
  </si>
  <si>
    <t xml:space="preserve">All preferred fully covered (through STRD)</t>
  </si>
  <si>
    <t xml:space="preserve">Common equity worth zero on a liquidation basis</t>
  </si>
  <si>
    <t xml:space="preserve">Same boundary; market cap can stay &gt; 0 on option/going-concern value.</t>
  </si>
  <si>
    <t xml:space="preserve">Formula (no-tax region):  P* = (CumClaims - Cash) x 1e6 / (BTCheld x (Haircut - Cost%)).   With tax:  P* = (Claims - Cash - t x Basis) x 1e6 / (BTCheld x (Haircut x (1 - t) - Cost%)).</t>
  </si>
  <si>
    <t xml:space="preserve">If STRC ever gained pari passu stock, replace the STRC claim with the combined class claim; recoveries within the class are then pro rata (see Dynamic_Issuance).</t>
  </si>
  <si>
    <t xml:space="preserve">STRC Recovery % — BTC Price x Haircut x Cost Assumptions</t>
  </si>
  <si>
    <t xml:space="preserve">Each cell = STRC recovery % of liquidation preference. Tax applied automatically above basis. Grid 1: costs as % of gross BTC. Grid 2: fixed-$ costs.</t>
  </si>
  <si>
    <t xml:space="preserve">GRID 1 — % of gross BTC costs</t>
  </si>
  <si>
    <t xml:space="preserve">Low cost — 2% of gross</t>
  </si>
  <si>
    <t xml:space="preserve">Base — 5% of gross</t>
  </si>
  <si>
    <t xml:space="preserve">Severe — 10% of gross</t>
  </si>
  <si>
    <t xml:space="preserve">Cost % -&gt;</t>
  </si>
  <si>
    <t xml:space="preserve">Haircut -&gt;</t>
  </si>
  <si>
    <t xml:space="preserve">GRID 2 — fixed-dollar costs (avoids overstating costs at high BTC prices)</t>
  </si>
  <si>
    <t xml:space="preserve">Fixed $250M</t>
  </si>
  <si>
    <t xml:space="preserve">Fixed $500M</t>
  </si>
  <si>
    <t xml:space="preserve">Fixed $1,000M</t>
  </si>
  <si>
    <t xml:space="preserve">Going-Concern Analysis — Dividend Sustainability &amp; BTC-Funded Runway</t>
  </si>
  <si>
    <t xml:space="preserve">How long can Strategy stay current on ALL dividends + interest by selling BTC — in coins per year and in years of runway, at any BTC price.</t>
  </si>
  <si>
    <t xml:space="preserve">1 · Annual fixed charges ($M)</t>
  </si>
  <si>
    <t xml:space="preserve">Interest — convertible notes</t>
  </si>
  <si>
    <t xml:space="preserve">Interest — secured debt</t>
  </si>
  <si>
    <t xml:space="preserve">Dividends — STRF (10.00%)</t>
  </si>
  <si>
    <t xml:space="preserve">Dividends — STRC (12.00% from Jul-26)</t>
  </si>
  <si>
    <t xml:space="preserve">Dividends — STRE (10.00%, EUR)</t>
  </si>
  <si>
    <t xml:space="preserve">Dividends — STRK (8.00%)</t>
  </si>
  <si>
    <t xml:space="preserve">Dividends — STRD (10.00%)</t>
  </si>
  <si>
    <t xml:space="preserve">Total dividends + interest</t>
  </si>
  <si>
    <t xml:space="preserve">Company-stated annual dividends + interest (29-Jun-26 8-K)</t>
  </si>
  <si>
    <t xml:space="preserve">Model within ~3%; gap closes if STRC stated is ~$10.4bn.</t>
  </si>
  <si>
    <t xml:space="preserve">Software business cash burn</t>
  </si>
  <si>
    <t xml:space="preserve">Total annual cash need incl. burn</t>
  </si>
  <si>
    <t xml:space="preserve">Fixed-charge coverage from software gross profit alone (~$333M/yr)</t>
  </si>
  <si>
    <t xml:space="preserve">Effectively nil — servicing is 100% capital-markets- or BTC-funded.</t>
  </si>
  <si>
    <t xml:space="preserve">2 · Coverage headline at CURRENT spot (Assumptions!B5)</t>
  </si>
  <si>
    <t xml:space="preserve">Fixed charges expressed in BTC (coins that must be sold per year)</t>
  </si>
  <si>
    <t xml:space="preserve">  as % of the 843,775-coin stack per year</t>
  </si>
  <si>
    <t xml:space="preserve">USD Reserve coverage (months of dividends + interest)</t>
  </si>
  <si>
    <t xml:space="preserve">Company: ~17.4 months at 28-Jun-26; policy floor 12 months.</t>
  </si>
  <si>
    <t xml:space="preserve">  incl. $1.25bn authorized BTC Monetization capacity (months)</t>
  </si>
  <si>
    <t xml:space="preserve">YEARS Strategy could pay ALL dividends + interest, selling BTC at spot:</t>
  </si>
  <si>
    <t xml:space="preserve">  (a) BTC stack only, no cash</t>
  </si>
  <si>
    <t xml:space="preserve">  (b) BTC stack + USD Reserve</t>
  </si>
  <si>
    <t xml:space="preserve">  (c) after first retiring ALL debt &amp; other liabilities ($8.7bn)</t>
  </si>
  <si>
    <t xml:space="preserve">  (d) while keeping STRC asset coverage &gt;= 1.0x (stop before impairing STRC)</t>
  </si>
  <si>
    <t xml:space="preserve">Annual need used in the runway table below ($M) — repoint to B14 to include software burn:</t>
  </si>
  <si>
    <t xml:space="preserve">3 · BTC-funded dividend runway across BTC prices (constant-price; depletion is linear)</t>
  </si>
  <si>
    <t xml:space="preserve">BTC sold per year (coins)</t>
  </si>
  <si>
    <t xml:space="preserve">% of stack sold per year</t>
  </si>
  <si>
    <t xml:space="preserve">Years — BTC only</t>
  </si>
  <si>
    <t xml:space="preserve">Years — BTC + cash</t>
  </si>
  <si>
    <t xml:space="preserve">Years — after debt &amp; liabs repaid first</t>
  </si>
  <si>
    <t xml:space="preserve">Years — keeping STRC coverage &gt;= 1.0x</t>
  </si>
  <si>
    <t xml:space="preserve">(a)-(d) read: at a constant price, coins needed per year are fixed, so runway = stack / (need / price). Column G is the credit-relevant horizon: selling stops being harmless once distributable value equals claims through STRC.</t>
  </si>
  <si>
    <t xml:space="preserve">A falling price mid-path shortens the runway toward its row at the lower price; the table therefore brackets the path-dependent outcome.</t>
  </si>
  <si>
    <t xml:space="preserve">4 · Debt wall (put-adjusted, per 10-Q maturity table)</t>
  </si>
  <si>
    <t xml:space="preserve">Fiscal year</t>
  </si>
  <si>
    <t xml:space="preserve">Principal due / putable ($M)</t>
  </si>
  <si>
    <t xml:space="preserve">Cumulative ($M)</t>
  </si>
  <si>
    <t xml:space="preserve">BTC coins to repay at spot</t>
  </si>
  <si>
    <t xml:space="preserve">FY2026-27</t>
  </si>
  <si>
    <t xml:space="preserve">Secured amortization</t>
  </si>
  <si>
    <t xml:space="preserve">2028 notes + 2030B put</t>
  </si>
  <si>
    <t xml:space="preserve">2029 + 2030A put + 2031 put</t>
  </si>
  <si>
    <t xml:space="preserve">FY2030</t>
  </si>
  <si>
    <t xml:space="preserve">2032 put</t>
  </si>
  <si>
    <t xml:space="preserve">Dividends are board-discretionary: STRC/STRF/STRE/STRK arrears cumulate (STRF/STRE compound to an 18% cap); STRD is non-cumulative. A suspension is a price event, not a default event.</t>
  </si>
  <si>
    <t xml:space="preserve">Since Jun-2026 the Digital Credit Capital Framework formally authorizes BTC sales for dividends/interest and reserve replenishment — the runway above is now stated policy, not just arithmetic.</t>
  </si>
  <si>
    <t xml:space="preserve">Dynamic Capital-Structure Risk — Future Issuance Senior or Pari to STRC</t>
  </si>
  <si>
    <t xml:space="preserve">Adds S of new claims. 'Proceeds to BTC' buys coins at today's spot; 'proceeds burned' models dividends/opex funding with no asset added. Retained-as-cash issuance is coverage-neutral.</t>
  </si>
  <si>
    <t xml:space="preserve">Key asymmetry: senior issuance raises STRC's zero-recovery floor; pari issuance (more STRC) leaves the floor unchanged but dilutes recovery in any shortfall.</t>
  </si>
  <si>
    <t xml:space="preserve">Table 1 — BTC price for 100% STRC(-class) recovery ($/BTC)</t>
  </si>
  <si>
    <t xml:space="preserve">New issuance S ($M)</t>
  </si>
  <si>
    <t xml:space="preserve">Senior, proceeds -&gt; BTC</t>
  </si>
  <si>
    <t xml:space="preserve">Senior, proceeds burned</t>
  </si>
  <si>
    <t xml:space="preserve">Pari (new STRC), proceeds -&gt; BTC</t>
  </si>
  <si>
    <t xml:space="preserve">Pari (new STRC), proceeds burned</t>
  </si>
  <si>
    <t xml:space="preserve">Class-wide 100% break-even is identical for senior vs pari; the difference appears below in shortfall recoveries and the 0% floor.</t>
  </si>
  <si>
    <t xml:space="preserve">Table 2 — STRC recovery % at a -50% BTC shock from spot</t>
  </si>
  <si>
    <t xml:space="preserve">Senior -&gt; BTC</t>
  </si>
  <si>
    <t xml:space="preserve">Senior burned</t>
  </si>
  <si>
    <t xml:space="preserve">Pari -&gt; BTC</t>
  </si>
  <si>
    <t xml:space="preserve">Pari burned</t>
  </si>
  <si>
    <t xml:space="preserve">No tax term: a -50% shock sits far below basis, so realized gains are nil.</t>
  </si>
  <si>
    <t xml:space="preserve">Table 3 — STRC zero-recovery floor ($/BTC): price below which STRC gets nothing</t>
  </si>
  <si>
    <t xml:space="preserve">Pari (any use)</t>
  </si>
  <si>
    <t xml:space="preserve">Reading: pari issuance whose proceeds buy BTC LOWERS the zero-recovery floor (more collateral, same seniors) while worsening mid-range recoveries — the exact trade STRC ATM buyers of 2026 have been making.</t>
  </si>
  <si>
    <t xml:space="preserve">Existing-STRC-holder recovery under pari issuance is pro rata within the class (same % as class).</t>
  </si>
  <si>
    <t xml:space="preserve">Charts — aligned axes for direct comparison</t>
  </si>
  <si>
    <t xml:space="preserve">All BTC-price axes: $0-200k, gridlines every $25k, labels in $ thousands. Series recalc automatically with Assumptions.</t>
  </si>
  <si>
    <t xml:space="preserve">Sources &amp; Bloomberg Reconciliation</t>
  </si>
  <si>
    <t xml:space="preserve">Every material capital-stack figure, with the filing that supports it.</t>
  </si>
  <si>
    <t xml:space="preserve">Figure</t>
  </si>
  <si>
    <t xml:space="preserve">Value used</t>
  </si>
  <si>
    <t xml:space="preserve">Source</t>
  </si>
  <si>
    <t xml:space="preserve">As of</t>
  </si>
  <si>
    <t xml:space="preserve">BTC held</t>
  </si>
  <si>
    <t xml:space="preserve">843,775 coins</t>
  </si>
  <si>
    <t xml:space="preserve">Form 8-K filed 6-Jul-2026 (sec.gov/Archives/edgar/data/1050446/000119312526295586/mstr-20260706.htm)</t>
  </si>
  <si>
    <t xml:space="preserve">5-Jul-2026</t>
  </si>
  <si>
    <t xml:space="preserve">BTC aggregate cost / avg cost</t>
  </si>
  <si>
    <t xml:space="preserve">$63.69bn / $75,476</t>
  </si>
  <si>
    <t xml:space="preserve">Same 8-K</t>
  </si>
  <si>
    <t xml:space="preserve">USD Reserve (cash)</t>
  </si>
  <si>
    <t xml:space="preserve">$2,550M</t>
  </si>
  <si>
    <t xml:space="preserve">Same 8-K; framework 8-K 29-Jun-2026</t>
  </si>
  <si>
    <t xml:space="preserve">Convertible notes, 6 issues</t>
  </si>
  <si>
    <t xml:space="preserve">$8,213.659M principal</t>
  </si>
  <si>
    <t xml:space="preserve">10-Q Q1-2026, Note 5 (sec.gov/Archives/edgar/data/1050446/000105044626000031/mstr-20260331.htm)</t>
  </si>
  <si>
    <t xml:space="preserve">31-Mar-2026</t>
  </si>
  <si>
    <t xml:space="preserve">Other secured debt</t>
  </si>
  <si>
    <t xml:space="preserve">$40.193M</t>
  </si>
  <si>
    <t xml:space="preserve">10-Q Q1-2026, Note 5</t>
  </si>
  <si>
    <t xml:space="preserve">Accrued interest</t>
  </si>
  <si>
    <t xml:space="preserve">$5.970M</t>
  </si>
  <si>
    <t xml:space="preserve">10-Q Q1-2026 balance sheet</t>
  </si>
  <si>
    <t xml:space="preserve">Other liabilities detail</t>
  </si>
  <si>
    <t xml:space="preserve">$430M total</t>
  </si>
  <si>
    <t xml:space="preserve">STRF shares</t>
  </si>
  <si>
    <t xml:space="preserve">12,839,689</t>
  </si>
  <si>
    <t xml:space="preserve">STRC prospectus supplement 424B5 (Mar-2026)</t>
  </si>
  <si>
    <t xml:space="preserve">19-Mar-2026</t>
  </si>
  <si>
    <t xml:space="preserve">STRE shares</t>
  </si>
  <si>
    <t xml:space="preserve">7,750,000</t>
  </si>
  <si>
    <t xml:space="preserve">Same 424B5</t>
  </si>
  <si>
    <t xml:space="preserve">STRK shares</t>
  </si>
  <si>
    <t xml:space="preserve">14,020,744</t>
  </si>
  <si>
    <t xml:space="preserve">STRD shares</t>
  </si>
  <si>
    <t xml:space="preserve">14,024,221</t>
  </si>
  <si>
    <t xml:space="preserve">STRC shares (ESTIMATE)</t>
  </si>
  <si>
    <t xml:space="preserve">100,000,000</t>
  </si>
  <si>
    <t xml:space="preserve">Derived: 50.25M implied at 3/31/26 (10-Q mezzanine 98.881M total minus four series above); '$8.5bn scaled' at 3-May-26 (Q1 earnings 8-K); ~$1.1-2.3bn further ATM May-Jun; anchored to company's $1.76bn fixed-charge disclosure</t>
  </si>
  <si>
    <t xml:space="preserve">Jul-2026 est.</t>
  </si>
  <si>
    <t xml:space="preserve">Total preferred liq pref at 3/31/26</t>
  </si>
  <si>
    <t xml:space="preserve">$10,004.676M (98.881M sh)</t>
  </si>
  <si>
    <t xml:space="preserve">10-Q Q1-2026 mezzanine equity</t>
  </si>
  <si>
    <t xml:space="preserve">Ranking: STRC junior to STRF, senior to STRE/STRK/STRD; no STRC parity stock</t>
  </si>
  <si>
    <t xml:space="preserve">STRC 424B5 (Jul-2025 &amp; Mar-2026); 10-K ex-4.2 STRF ranking; STRE terms (Nov-2025)</t>
  </si>
  <si>
    <t xml:space="preserve">Mar-2026</t>
  </si>
  <si>
    <t xml:space="preserve">STRC rate 12.00% + semi-monthly</t>
  </si>
  <si>
    <t xml:space="preserve">Digital Credit Capital Framework 8-K / press release 29-Jun-2026 (strategy.com/press)</t>
  </si>
  <si>
    <t xml:space="preserve">1-Jul-2026</t>
  </si>
  <si>
    <t xml:space="preserve">Annual dividends + interest</t>
  </si>
  <si>
    <t xml:space="preserve">$1.76bn (company)</t>
  </si>
  <si>
    <t xml:space="preserve">Framework release 29-Jun-2026</t>
  </si>
  <si>
    <t xml:space="preserve">Jun-2026</t>
  </si>
  <si>
    <t xml:space="preserve">BTC Monetization Program</t>
  </si>
  <si>
    <t xml:space="preserve">$1.25bn + dividend/buyback prongs; $1bn pref + $1bn common buyback authorizations</t>
  </si>
  <si>
    <t xml:space="preserve">29-Jun-2026</t>
  </si>
  <si>
    <t xml:space="preserve">BTC sales to fund dividends</t>
  </si>
  <si>
    <t xml:space="preserve">3,588 BTC / $216M at ~$59.3-60.8k</t>
  </si>
  <si>
    <t xml:space="preserve">8-K 6-Jul-2026</t>
  </si>
  <si>
    <t xml:space="preserve">Put-adjusted debt wall</t>
  </si>
  <si>
    <t xml:space="preserve">FY28 $3.02bn / FY29 $4.40bn / FY30 $0.8bn</t>
  </si>
  <si>
    <t xml:space="preserve">10-Q Q1-2026 maturities table (holder-put basis)</t>
  </si>
  <si>
    <t xml:space="preserve">Bloomberg screen reconciliation (user's DDIS / FA screenshots)</t>
  </si>
  <si>
    <t xml:space="preserve">FA 'Preferred e outros' $10,004.7M</t>
  </si>
  <si>
    <t xml:space="preserve">Matches EXACTLY the 10-Q mezzanine 'redemption value and liquidation preference' of $10,004,676k at 3/31/26 (98.881M sh; ~$117M above shares x $100 reflects accrued dividends in liq pref). Right CONCEPT for claims - but stale: current preferred stack is ~$15bn after ~$5bn of Apr-Jun STRC ATM.</t>
  </si>
  <si>
    <t xml:space="preserve">DDIS 'Preferreds' $7,082.05M</t>
  </si>
  <si>
    <t xml:space="preserve">Ties to NO filing figure. Sits between YE-25 carrying value ($6,919.5M) and YE-25 liquidation preference ($8,032.3M) and predates 2026's STRC issuance. Do NOT use for liquidation claims.</t>
  </si>
  <si>
    <t xml:space="preserve">DDIS debt $6,713.66M / 2029 bucket $1,500M</t>
  </si>
  <si>
    <t xml:space="preserve">Missing exactly half of the $3.0bn 2029 0% converts. 10-Q (31-Mar-26): $3.0bn 2029s outstanding; no retirement disclosed since. Correct principal: $8,213.7M converts + $40.2M secured = $8,253.9M.</t>
  </si>
  <si>
    <t xml:space="preserve">FA 'Divida total' $8,257.4M</t>
  </si>
  <si>
    <t xml:space="preserve">Equals carrying value of LTD ($8,196.5M = face less ~$57M unamortized issuance costs) + operating leases ($60.9M). Consistent with filings.</t>
  </si>
  <si>
    <t xml:space="preserve">DDIS maturity ladder</t>
  </si>
  <si>
    <t xml:space="preserve">Stated maturities only. Economic wall is put-adjusted: ~$3.0bn FY2028, ~$4.4bn FY2029, ~$0.8bn FY2030.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</si>
</sst>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\$#,##0"/>
    <numFmt numFmtId="166" formatCode="#,##0"/>
    <numFmt numFmtId="167" formatCode="#,##0;\(#,##0\)"/>
    <numFmt numFmtId="168" formatCode="0.0000"/>
    <numFmt numFmtId="169" formatCode="\$#,##0.00"/>
    <numFmt numFmtId="170" formatCode="0.0%"/>
    <numFmt numFmtId="171" formatCode="0"/>
    <numFmt numFmtId="172" formatCode="#,##0.0;\(#,##0.0\)"/>
    <numFmt numFmtId="173" formatCode="0.00%"/>
    <numFmt numFmtId="174" formatCode="0.00\x"/>
    <numFmt numFmtId="175" formatCode="#,##0.0;\(#,##0.0\)"/>
    <numFmt numFmtId="176" formatCode="#,##0;\(#,##0\)"/>
    <numFmt numFmtId="177" formatCode="0.00\x"/>
    <numFmt numFmtId="178" formatCode="0.0"/>
    <numFmt numFmtId="179" formatCode="\$#,##0"/>
    <numFmt numFmtId="180" formatCode="#,##0,"/>
    <numFmt numFmtId="181" formatCode="0%"/>
    <numFmt numFmtId="182" formatCode="\$0"/>
    <numFmt numFmtId="183" formatCode="0\x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3864"/>
      <name val="Calibri"/>
      <family val="0"/>
      <charset val="1"/>
    </font>
    <font>
      <i val="true"/>
      <sz val="9"/>
      <color rgb="FF666666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10"/>
      <name val="Calibri"/>
      <family val="0"/>
      <charset val="1"/>
    </font>
    <font>
      <b val="true"/>
      <sz val="10"/>
      <color rgb="FF1F3864"/>
      <name val="Calibri"/>
      <family val="0"/>
      <charset val="1"/>
    </font>
    <font>
      <sz val="10"/>
      <color rgb="FF0000FF"/>
      <name val="Calibri"/>
      <family val="0"/>
      <charset val="1"/>
    </font>
    <font>
      <i val="true"/>
      <sz val="9"/>
      <color rgb="FF7F6000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008000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3EEE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1F3864"/>
        <bgColor rgb="FF142E46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double">
        <color rgb="FF1F3864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9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2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9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9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5" fontId="1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008080"/>
      <rgbColor rgb="FFB3B3B3"/>
      <rgbColor rgb="FF808080"/>
      <rgbColor rgb="FF9999FF"/>
      <rgbColor rgb="FF993366"/>
      <rgbColor rgb="FFF3EEE2"/>
      <rgbColor rgb="FFCCFFFF"/>
      <rgbColor rgb="FF660066"/>
      <rgbColor rgb="FFB69D64"/>
      <rgbColor rgb="FF0066CC"/>
      <rgbColor rgb="FFC8CF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A9B4C6"/>
      <rgbColor rgb="FFFF99CC"/>
      <rgbColor rgb="FFCC99FF"/>
      <rgbColor rgb="FFFFCC99"/>
      <rgbColor rgb="FF3366FF"/>
      <rgbColor rgb="FF33CCCC"/>
      <rgbColor rgb="FF99CC00"/>
      <rgbColor rgb="FFFFCC00"/>
      <rgbColor rgb="FFC9A84C"/>
      <rgbColor rgb="FFFF6600"/>
      <rgbColor rgb="FF666666"/>
      <rgbColor rgb="FF8496AF"/>
      <rgbColor rgb="FF142E46"/>
      <rgbColor rgb="FF339966"/>
      <rgbColor rgb="FF003300"/>
      <rgbColor rgb="FF333300"/>
      <rgbColor rgb="FF993300"/>
      <rgbColor rgb="FF993366"/>
      <rgbColor rgb="FF3A5A8C"/>
      <rgbColor rgb="FF1F386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1 · STRC recovery vs BTC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"STRC recovery %"</c:f>
              <c:strCache>
                <c:ptCount val="1"/>
                <c:pt idx="0">
                  <c:v>STRC recovery %</c:v>
                </c:pt>
              </c:strCache>
            </c:strRef>
          </c:tx>
          <c:spPr>
            <a:solidFill>
              <a:srgbClr val="1f3864"/>
            </a:solidFill>
            <a:ln w="28440">
              <a:solidFill>
                <a:srgbClr val="1f3864"/>
              </a:solidFill>
              <a:round/>
            </a:ln>
          </c:spPr>
          <c:marker>
            <c:symbol val="circle"/>
            <c:size val="5"/>
            <c:spPr>
              <a:solidFill>
                <a:srgbClr val="1f3864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BTC_Sensitivity!$B$6:$B$22</c:f>
              <c:numCache>
                <c:formatCode>\$#,##0</c:formatCode>
                <c:ptCount val="17"/>
                <c:pt idx="0">
                  <c:v>20000</c:v>
                </c:pt>
                <c:pt idx="1">
                  <c:v>25000</c:v>
                </c:pt>
                <c:pt idx="2">
                  <c:v>30000</c:v>
                </c:pt>
                <c:pt idx="3">
                  <c:v>35000</c:v>
                </c:pt>
                <c:pt idx="4">
                  <c:v>40000</c:v>
                </c:pt>
                <c:pt idx="5">
                  <c:v>45000</c:v>
                </c:pt>
                <c:pt idx="6">
                  <c:v>50000</c:v>
                </c:pt>
                <c:pt idx="7">
                  <c:v>55000</c:v>
                </c:pt>
                <c:pt idx="8">
                  <c:v>60000</c:v>
                </c:pt>
                <c:pt idx="9">
                  <c:v>65000</c:v>
                </c:pt>
                <c:pt idx="10">
                  <c:v>70000</c:v>
                </c:pt>
                <c:pt idx="11">
                  <c:v>80000</c:v>
                </c:pt>
                <c:pt idx="12">
                  <c:v>90000</c:v>
                </c:pt>
                <c:pt idx="13">
                  <c:v>100000</c:v>
                </c:pt>
                <c:pt idx="14">
                  <c:v>125000</c:v>
                </c:pt>
                <c:pt idx="15">
                  <c:v>150000</c:v>
                </c:pt>
                <c:pt idx="16">
                  <c:v>200000</c:v>
                </c:pt>
              </c:numCache>
            </c:numRef>
          </c:xVal>
          <c:yVal>
            <c:numRef>
              <c:f>BTC_Sensitivity!$L$6:$L$22</c:f>
              <c:numCache>
                <c:formatCode>0.0%</c:formatCode>
                <c:ptCount val="17"/>
                <c:pt idx="0">
                  <c:v>0.86079631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yVal>
          <c:smooth val="0"/>
        </c:ser>
        <c:axId val="77964603"/>
        <c:axId val="99531351"/>
      </c:scatterChart>
      <c:valAx>
        <c:axId val="77964603"/>
        <c:scaling>
          <c:orientation val="minMax"/>
          <c:max val="200000"/>
          <c:min val="0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BTC price ($ thousands)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,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9531351"/>
        <c:crosses val="autoZero"/>
        <c:crossBetween val="midCat"/>
        <c:majorUnit val="25000"/>
      </c:valAx>
      <c:valAx>
        <c:axId val="99531351"/>
        <c:scaling>
          <c:orientation val="minMax"/>
          <c:max val="1"/>
          <c:min val="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Recovery (% of $100 liquidation preference)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7964603"/>
        <c:crosses val="autoZero"/>
        <c:crossBetween val="midCat"/>
        <c:majorUnit val="0.25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2 · Recovery by tier — the whole waterfall on one axis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"Debt (secured + converts)"</c:f>
              <c:strCache>
                <c:ptCount val="1"/>
                <c:pt idx="0">
                  <c:v>Debt (secured + converts)</c:v>
                </c:pt>
              </c:strCache>
            </c:strRef>
          </c:tx>
          <c:spPr>
            <a:solidFill>
              <a:srgbClr val="142e46"/>
            </a:solidFill>
            <a:ln w="28440">
              <a:solidFill>
                <a:srgbClr val="142e4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BTC_Sensitivity!$B$6:$B$22</c:f>
              <c:numCache>
                <c:formatCode>\$#,##0</c:formatCode>
                <c:ptCount val="17"/>
                <c:pt idx="0">
                  <c:v>20000</c:v>
                </c:pt>
                <c:pt idx="1">
                  <c:v>25000</c:v>
                </c:pt>
                <c:pt idx="2">
                  <c:v>30000</c:v>
                </c:pt>
                <c:pt idx="3">
                  <c:v>35000</c:v>
                </c:pt>
                <c:pt idx="4">
                  <c:v>40000</c:v>
                </c:pt>
                <c:pt idx="5">
                  <c:v>45000</c:v>
                </c:pt>
                <c:pt idx="6">
                  <c:v>50000</c:v>
                </c:pt>
                <c:pt idx="7">
                  <c:v>55000</c:v>
                </c:pt>
                <c:pt idx="8">
                  <c:v>60000</c:v>
                </c:pt>
                <c:pt idx="9">
                  <c:v>65000</c:v>
                </c:pt>
                <c:pt idx="10">
                  <c:v>70000</c:v>
                </c:pt>
                <c:pt idx="11">
                  <c:v>80000</c:v>
                </c:pt>
                <c:pt idx="12">
                  <c:v>90000</c:v>
                </c:pt>
                <c:pt idx="13">
                  <c:v>100000</c:v>
                </c:pt>
                <c:pt idx="14">
                  <c:v>125000</c:v>
                </c:pt>
                <c:pt idx="15">
                  <c:v>150000</c:v>
                </c:pt>
                <c:pt idx="16">
                  <c:v>200000</c:v>
                </c:pt>
              </c:numCache>
            </c:numRef>
          </c:xVal>
          <c:yVal>
            <c:numRef>
              <c:f>BTC_Sensitivity!$H$6:$H$22</c:f>
              <c:numCache>
                <c:formatCode>0.0%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"STRF (senior pref)"</c:f>
              <c:strCache>
                <c:ptCount val="1"/>
                <c:pt idx="0">
                  <c:v>STRF (senior pref)</c:v>
                </c:pt>
              </c:strCache>
            </c:strRef>
          </c:tx>
          <c:spPr>
            <a:solidFill>
              <a:srgbClr val="3a5a8c"/>
            </a:solidFill>
            <a:ln w="28440">
              <a:solidFill>
                <a:srgbClr val="3a5a8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BTC_Sensitivity!$B$6:$B$22</c:f>
              <c:numCache>
                <c:formatCode>\$#,##0</c:formatCode>
                <c:ptCount val="17"/>
                <c:pt idx="0">
                  <c:v>20000</c:v>
                </c:pt>
                <c:pt idx="1">
                  <c:v>25000</c:v>
                </c:pt>
                <c:pt idx="2">
                  <c:v>30000</c:v>
                </c:pt>
                <c:pt idx="3">
                  <c:v>35000</c:v>
                </c:pt>
                <c:pt idx="4">
                  <c:v>40000</c:v>
                </c:pt>
                <c:pt idx="5">
                  <c:v>45000</c:v>
                </c:pt>
                <c:pt idx="6">
                  <c:v>50000</c:v>
                </c:pt>
                <c:pt idx="7">
                  <c:v>55000</c:v>
                </c:pt>
                <c:pt idx="8">
                  <c:v>60000</c:v>
                </c:pt>
                <c:pt idx="9">
                  <c:v>65000</c:v>
                </c:pt>
                <c:pt idx="10">
                  <c:v>70000</c:v>
                </c:pt>
                <c:pt idx="11">
                  <c:v>80000</c:v>
                </c:pt>
                <c:pt idx="12">
                  <c:v>90000</c:v>
                </c:pt>
                <c:pt idx="13">
                  <c:v>100000</c:v>
                </c:pt>
                <c:pt idx="14">
                  <c:v>125000</c:v>
                </c:pt>
                <c:pt idx="15">
                  <c:v>150000</c:v>
                </c:pt>
                <c:pt idx="16">
                  <c:v>200000</c:v>
                </c:pt>
              </c:numCache>
            </c:numRef>
          </c:xVal>
          <c:yVal>
            <c:numRef>
              <c:f>BTC_Sensitivity!$J$6:$J$22</c:f>
              <c:numCache>
                <c:formatCode>0.0%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"STRC"</c:f>
              <c:strCache>
                <c:ptCount val="1"/>
                <c:pt idx="0">
                  <c:v>STRC</c:v>
                </c:pt>
              </c:strCache>
            </c:strRef>
          </c:tx>
          <c:spPr>
            <a:solidFill>
              <a:srgbClr val="b69d64"/>
            </a:solidFill>
            <a:ln w="44280">
              <a:solidFill>
                <a:srgbClr val="b69d64"/>
              </a:solidFill>
              <a:round/>
            </a:ln>
          </c:spPr>
          <c:marker>
            <c:symbol val="circle"/>
            <c:size val="5"/>
            <c:spPr>
              <a:solidFill>
                <a:srgbClr val="b69d64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BTC_Sensitivity!$B$6:$B$22</c:f>
              <c:numCache>
                <c:formatCode>\$#,##0</c:formatCode>
                <c:ptCount val="17"/>
                <c:pt idx="0">
                  <c:v>20000</c:v>
                </c:pt>
                <c:pt idx="1">
                  <c:v>25000</c:v>
                </c:pt>
                <c:pt idx="2">
                  <c:v>30000</c:v>
                </c:pt>
                <c:pt idx="3">
                  <c:v>35000</c:v>
                </c:pt>
                <c:pt idx="4">
                  <c:v>40000</c:v>
                </c:pt>
                <c:pt idx="5">
                  <c:v>45000</c:v>
                </c:pt>
                <c:pt idx="6">
                  <c:v>50000</c:v>
                </c:pt>
                <c:pt idx="7">
                  <c:v>55000</c:v>
                </c:pt>
                <c:pt idx="8">
                  <c:v>60000</c:v>
                </c:pt>
                <c:pt idx="9">
                  <c:v>65000</c:v>
                </c:pt>
                <c:pt idx="10">
                  <c:v>70000</c:v>
                </c:pt>
                <c:pt idx="11">
                  <c:v>80000</c:v>
                </c:pt>
                <c:pt idx="12">
                  <c:v>90000</c:v>
                </c:pt>
                <c:pt idx="13">
                  <c:v>100000</c:v>
                </c:pt>
                <c:pt idx="14">
                  <c:v>125000</c:v>
                </c:pt>
                <c:pt idx="15">
                  <c:v>150000</c:v>
                </c:pt>
                <c:pt idx="16">
                  <c:v>200000</c:v>
                </c:pt>
              </c:numCache>
            </c:numRef>
          </c:xVal>
          <c:yVal>
            <c:numRef>
              <c:f>BTC_Sensitivity!$L$6:$L$22</c:f>
              <c:numCache>
                <c:formatCode>0.0%</c:formatCode>
                <c:ptCount val="17"/>
                <c:pt idx="0">
                  <c:v>0.86079631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"STRE"</c:f>
              <c:strCache>
                <c:ptCount val="1"/>
                <c:pt idx="0">
                  <c:v>STRE</c:v>
                </c:pt>
              </c:strCache>
            </c:strRef>
          </c:tx>
          <c:spPr>
            <a:solidFill>
              <a:srgbClr val="8496af"/>
            </a:solidFill>
            <a:ln w="22320">
              <a:solidFill>
                <a:srgbClr val="8496a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BTC_Sensitivity!$B$6:$B$22</c:f>
              <c:numCache>
                <c:formatCode>\$#,##0</c:formatCode>
                <c:ptCount val="17"/>
                <c:pt idx="0">
                  <c:v>20000</c:v>
                </c:pt>
                <c:pt idx="1">
                  <c:v>25000</c:v>
                </c:pt>
                <c:pt idx="2">
                  <c:v>30000</c:v>
                </c:pt>
                <c:pt idx="3">
                  <c:v>35000</c:v>
                </c:pt>
                <c:pt idx="4">
                  <c:v>40000</c:v>
                </c:pt>
                <c:pt idx="5">
                  <c:v>45000</c:v>
                </c:pt>
                <c:pt idx="6">
                  <c:v>50000</c:v>
                </c:pt>
                <c:pt idx="7">
                  <c:v>55000</c:v>
                </c:pt>
                <c:pt idx="8">
                  <c:v>60000</c:v>
                </c:pt>
                <c:pt idx="9">
                  <c:v>65000</c:v>
                </c:pt>
                <c:pt idx="10">
                  <c:v>70000</c:v>
                </c:pt>
                <c:pt idx="11">
                  <c:v>80000</c:v>
                </c:pt>
                <c:pt idx="12">
                  <c:v>90000</c:v>
                </c:pt>
                <c:pt idx="13">
                  <c:v>100000</c:v>
                </c:pt>
                <c:pt idx="14">
                  <c:v>125000</c:v>
                </c:pt>
                <c:pt idx="15">
                  <c:v>150000</c:v>
                </c:pt>
                <c:pt idx="16">
                  <c:v>200000</c:v>
                </c:pt>
              </c:numCache>
            </c:numRef>
          </c:xVal>
          <c:yVal>
            <c:numRef>
              <c:f>BTC_Sensitivity!$P$6:$P$22</c:f>
              <c:numCache>
                <c:formatCode>0.0%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"STRK"</c:f>
              <c:strCache>
                <c:ptCount val="1"/>
                <c:pt idx="0">
                  <c:v>STRK</c:v>
                </c:pt>
              </c:strCache>
            </c:strRef>
          </c:tx>
          <c:spPr>
            <a:solidFill>
              <a:srgbClr val="a9b4c6"/>
            </a:solidFill>
            <a:ln w="22320">
              <a:solidFill>
                <a:srgbClr val="a9b4c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BTC_Sensitivity!$B$6:$B$22</c:f>
              <c:numCache>
                <c:formatCode>\$#,##0</c:formatCode>
                <c:ptCount val="17"/>
                <c:pt idx="0">
                  <c:v>20000</c:v>
                </c:pt>
                <c:pt idx="1">
                  <c:v>25000</c:v>
                </c:pt>
                <c:pt idx="2">
                  <c:v>30000</c:v>
                </c:pt>
                <c:pt idx="3">
                  <c:v>35000</c:v>
                </c:pt>
                <c:pt idx="4">
                  <c:v>40000</c:v>
                </c:pt>
                <c:pt idx="5">
                  <c:v>45000</c:v>
                </c:pt>
                <c:pt idx="6">
                  <c:v>50000</c:v>
                </c:pt>
                <c:pt idx="7">
                  <c:v>55000</c:v>
                </c:pt>
                <c:pt idx="8">
                  <c:v>60000</c:v>
                </c:pt>
                <c:pt idx="9">
                  <c:v>65000</c:v>
                </c:pt>
                <c:pt idx="10">
                  <c:v>70000</c:v>
                </c:pt>
                <c:pt idx="11">
                  <c:v>80000</c:v>
                </c:pt>
                <c:pt idx="12">
                  <c:v>90000</c:v>
                </c:pt>
                <c:pt idx="13">
                  <c:v>100000</c:v>
                </c:pt>
                <c:pt idx="14">
                  <c:v>125000</c:v>
                </c:pt>
                <c:pt idx="15">
                  <c:v>150000</c:v>
                </c:pt>
                <c:pt idx="16">
                  <c:v>200000</c:v>
                </c:pt>
              </c:numCache>
            </c:numRef>
          </c:xVal>
          <c:yVal>
            <c:numRef>
              <c:f>BTC_Sensitivity!$Q$6:$Q$22</c:f>
              <c:numCache>
                <c:formatCode>0.0%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"STRD (junior)"</c:f>
              <c:strCache>
                <c:ptCount val="1"/>
                <c:pt idx="0">
                  <c:v>STRD (junior)</c:v>
                </c:pt>
              </c:strCache>
            </c:strRef>
          </c:tx>
          <c:spPr>
            <a:solidFill>
              <a:srgbClr val="c8cfda"/>
            </a:solidFill>
            <a:ln w="22320">
              <a:solidFill>
                <a:srgbClr val="c8cfda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BTC_Sensitivity!$B$6:$B$22</c:f>
              <c:numCache>
                <c:formatCode>\$#,##0</c:formatCode>
                <c:ptCount val="17"/>
                <c:pt idx="0">
                  <c:v>20000</c:v>
                </c:pt>
                <c:pt idx="1">
                  <c:v>25000</c:v>
                </c:pt>
                <c:pt idx="2">
                  <c:v>30000</c:v>
                </c:pt>
                <c:pt idx="3">
                  <c:v>35000</c:v>
                </c:pt>
                <c:pt idx="4">
                  <c:v>40000</c:v>
                </c:pt>
                <c:pt idx="5">
                  <c:v>45000</c:v>
                </c:pt>
                <c:pt idx="6">
                  <c:v>50000</c:v>
                </c:pt>
                <c:pt idx="7">
                  <c:v>55000</c:v>
                </c:pt>
                <c:pt idx="8">
                  <c:v>60000</c:v>
                </c:pt>
                <c:pt idx="9">
                  <c:v>65000</c:v>
                </c:pt>
                <c:pt idx="10">
                  <c:v>70000</c:v>
                </c:pt>
                <c:pt idx="11">
                  <c:v>80000</c:v>
                </c:pt>
                <c:pt idx="12">
                  <c:v>90000</c:v>
                </c:pt>
                <c:pt idx="13">
                  <c:v>100000</c:v>
                </c:pt>
                <c:pt idx="14">
                  <c:v>125000</c:v>
                </c:pt>
                <c:pt idx="15">
                  <c:v>150000</c:v>
                </c:pt>
                <c:pt idx="16">
                  <c:v>200000</c:v>
                </c:pt>
              </c:numCache>
            </c:numRef>
          </c:xVal>
          <c:yVal>
            <c:numRef>
              <c:f>BTC_Sensitivity!$R$6:$R$22</c:f>
              <c:numCache>
                <c:formatCode>0.0%</c:formatCode>
                <c:ptCount val="17"/>
                <c:pt idx="0">
                  <c:v>0</c:v>
                </c:pt>
                <c:pt idx="1">
                  <c:v>0.224483021195973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yVal>
          <c:smooth val="0"/>
        </c:ser>
        <c:axId val="56490487"/>
        <c:axId val="60891110"/>
      </c:scatterChart>
      <c:valAx>
        <c:axId val="56490487"/>
        <c:scaling>
          <c:orientation val="minMax"/>
          <c:max val="200000"/>
          <c:min val="0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BTC price ($ thousands)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,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0891110"/>
        <c:crosses val="autoZero"/>
        <c:crossBetween val="midCat"/>
        <c:majorUnit val="25000"/>
      </c:valAx>
      <c:valAx>
        <c:axId val="60891110"/>
        <c:scaling>
          <c:orientation val="minMax"/>
          <c:max val="1"/>
          <c:min val="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Recovery (% of claim)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6490487"/>
        <c:crosses val="autoZero"/>
        <c:crossBetween val="midCat"/>
        <c:majorUnit val="0.25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3 · STRC recovery value per share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"STRC $/share"</c:f>
              <c:strCache>
                <c:ptCount val="1"/>
                <c:pt idx="0">
                  <c:v>STRC $/share</c:v>
                </c:pt>
              </c:strCache>
            </c:strRef>
          </c:tx>
          <c:spPr>
            <a:solidFill>
              <a:srgbClr val="1f3864"/>
            </a:solidFill>
            <a:ln w="28440">
              <a:solidFill>
                <a:srgbClr val="1f3864"/>
              </a:solidFill>
              <a:round/>
            </a:ln>
          </c:spPr>
          <c:marker>
            <c:symbol val="circle"/>
            <c:size val="5"/>
            <c:spPr>
              <a:solidFill>
                <a:srgbClr val="1f3864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BTC_Sensitivity!$B$6:$B$22</c:f>
              <c:numCache>
                <c:formatCode>\$#,##0</c:formatCode>
                <c:ptCount val="17"/>
                <c:pt idx="0">
                  <c:v>20000</c:v>
                </c:pt>
                <c:pt idx="1">
                  <c:v>25000</c:v>
                </c:pt>
                <c:pt idx="2">
                  <c:v>30000</c:v>
                </c:pt>
                <c:pt idx="3">
                  <c:v>35000</c:v>
                </c:pt>
                <c:pt idx="4">
                  <c:v>40000</c:v>
                </c:pt>
                <c:pt idx="5">
                  <c:v>45000</c:v>
                </c:pt>
                <c:pt idx="6">
                  <c:v>50000</c:v>
                </c:pt>
                <c:pt idx="7">
                  <c:v>55000</c:v>
                </c:pt>
                <c:pt idx="8">
                  <c:v>60000</c:v>
                </c:pt>
                <c:pt idx="9">
                  <c:v>65000</c:v>
                </c:pt>
                <c:pt idx="10">
                  <c:v>70000</c:v>
                </c:pt>
                <c:pt idx="11">
                  <c:v>80000</c:v>
                </c:pt>
                <c:pt idx="12">
                  <c:v>90000</c:v>
                </c:pt>
                <c:pt idx="13">
                  <c:v>100000</c:v>
                </c:pt>
                <c:pt idx="14">
                  <c:v>125000</c:v>
                </c:pt>
                <c:pt idx="15">
                  <c:v>150000</c:v>
                </c:pt>
                <c:pt idx="16">
                  <c:v>200000</c:v>
                </c:pt>
              </c:numCache>
            </c:numRef>
          </c:xVal>
          <c:yVal>
            <c:numRef>
              <c:f>BTC_Sensitivity!$M$6:$M$22</c:f>
              <c:numCache>
                <c:formatCode>\$#,##0.00</c:formatCode>
                <c:ptCount val="17"/>
                <c:pt idx="0">
                  <c:v>86.079631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yVal>
          <c:smooth val="0"/>
        </c:ser>
        <c:axId val="53789263"/>
        <c:axId val="30242292"/>
      </c:scatterChart>
      <c:valAx>
        <c:axId val="53789263"/>
        <c:scaling>
          <c:orientation val="minMax"/>
          <c:max val="200000"/>
          <c:min val="0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BTC price ($ thousands)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,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0242292"/>
        <c:crosses val="autoZero"/>
        <c:crossBetween val="midCat"/>
        <c:majorUnit val="25000"/>
      </c:valAx>
      <c:valAx>
        <c:axId val="30242292"/>
        <c:scaling>
          <c:orientation val="minMax"/>
          <c:max val="100"/>
          <c:min val="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Recovery value ($ per STRC share)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3789263"/>
        <c:crosses val="autoZero"/>
        <c:crossBetween val="midCat"/>
        <c:majorUnit val="25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4 · STRC asset coverage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"Coverage (x)"</c:f>
              <c:strCache>
                <c:ptCount val="1"/>
                <c:pt idx="0">
                  <c:v>Coverage (x)</c:v>
                </c:pt>
              </c:strCache>
            </c:strRef>
          </c:tx>
          <c:spPr>
            <a:solidFill>
              <a:srgbClr val="1f3864"/>
            </a:solidFill>
            <a:ln w="28440">
              <a:solidFill>
                <a:srgbClr val="1f3864"/>
              </a:solidFill>
              <a:round/>
            </a:ln>
          </c:spPr>
          <c:marker>
            <c:symbol val="circle"/>
            <c:size val="5"/>
            <c:spPr>
              <a:solidFill>
                <a:srgbClr val="1f3864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BTC_Sensitivity!$B$6:$B$22</c:f>
              <c:numCache>
                <c:formatCode>\$#,##0</c:formatCode>
                <c:ptCount val="17"/>
                <c:pt idx="0">
                  <c:v>20000</c:v>
                </c:pt>
                <c:pt idx="1">
                  <c:v>25000</c:v>
                </c:pt>
                <c:pt idx="2">
                  <c:v>30000</c:v>
                </c:pt>
                <c:pt idx="3">
                  <c:v>35000</c:v>
                </c:pt>
                <c:pt idx="4">
                  <c:v>40000</c:v>
                </c:pt>
                <c:pt idx="5">
                  <c:v>45000</c:v>
                </c:pt>
                <c:pt idx="6">
                  <c:v>50000</c:v>
                </c:pt>
                <c:pt idx="7">
                  <c:v>55000</c:v>
                </c:pt>
                <c:pt idx="8">
                  <c:v>60000</c:v>
                </c:pt>
                <c:pt idx="9">
                  <c:v>65000</c:v>
                </c:pt>
                <c:pt idx="10">
                  <c:v>70000</c:v>
                </c:pt>
                <c:pt idx="11">
                  <c:v>80000</c:v>
                </c:pt>
                <c:pt idx="12">
                  <c:v>90000</c:v>
                </c:pt>
                <c:pt idx="13">
                  <c:v>100000</c:v>
                </c:pt>
                <c:pt idx="14">
                  <c:v>125000</c:v>
                </c:pt>
                <c:pt idx="15">
                  <c:v>150000</c:v>
                </c:pt>
                <c:pt idx="16">
                  <c:v>200000</c:v>
                </c:pt>
              </c:numCache>
            </c:numRef>
          </c:xVal>
          <c:yVal>
            <c:numRef>
              <c:f>BTC_Sensitivity!$O$6:$O$22</c:f>
              <c:numCache>
                <c:formatCode>0.00\x</c:formatCode>
                <c:ptCount val="17"/>
                <c:pt idx="0">
                  <c:v>0.86079631</c:v>
                </c:pt>
                <c:pt idx="1">
                  <c:v>1.261589435</c:v>
                </c:pt>
                <c:pt idx="2">
                  <c:v>1.66238256</c:v>
                </c:pt>
                <c:pt idx="3">
                  <c:v>2.063175685</c:v>
                </c:pt>
                <c:pt idx="4">
                  <c:v>2.46396881</c:v>
                </c:pt>
                <c:pt idx="5">
                  <c:v>2.864761935</c:v>
                </c:pt>
                <c:pt idx="6">
                  <c:v>3.26555506</c:v>
                </c:pt>
                <c:pt idx="7">
                  <c:v>3.666348185</c:v>
                </c:pt>
                <c:pt idx="8">
                  <c:v>4.06714131</c:v>
                </c:pt>
                <c:pt idx="9">
                  <c:v>4.467934435</c:v>
                </c:pt>
                <c:pt idx="10">
                  <c:v>4.86872756</c:v>
                </c:pt>
                <c:pt idx="11">
                  <c:v>5.59026181</c:v>
                </c:pt>
                <c:pt idx="12">
                  <c:v>6.21465531</c:v>
                </c:pt>
                <c:pt idx="13">
                  <c:v>6.83904881</c:v>
                </c:pt>
                <c:pt idx="14">
                  <c:v>8.40003256</c:v>
                </c:pt>
                <c:pt idx="15">
                  <c:v>9.96101631</c:v>
                </c:pt>
                <c:pt idx="16">
                  <c:v>13.08298381</c:v>
                </c:pt>
              </c:numCache>
            </c:numRef>
          </c:yVal>
          <c:smooth val="0"/>
        </c:ser>
        <c:axId val="47027010"/>
        <c:axId val="28750783"/>
      </c:scatterChart>
      <c:valAx>
        <c:axId val="47027010"/>
        <c:scaling>
          <c:orientation val="minMax"/>
          <c:max val="200000"/>
          <c:min val="0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BTC price ($ thousands)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,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750783"/>
        <c:crosses val="autoZero"/>
        <c:crossBetween val="midCat"/>
        <c:majorUnit val="25000"/>
      </c:valAx>
      <c:valAx>
        <c:axId val="28750783"/>
        <c:scaling>
          <c:orientation val="minMax"/>
          <c:max val="16"/>
          <c:min val="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Coverage at the STRC tier (x)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\x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7027010"/>
        <c:crosses val="autoZero"/>
        <c:crossBetween val="midCat"/>
        <c:majorUnit val="2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5 · Residual value to MSTR common in liquidation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"Residual to common"</c:f>
              <c:strCache>
                <c:ptCount val="1"/>
                <c:pt idx="0">
                  <c:v>Residual to common</c:v>
                </c:pt>
              </c:strCache>
            </c:strRef>
          </c:tx>
          <c:spPr>
            <a:solidFill>
              <a:srgbClr val="1f3864"/>
            </a:solidFill>
            <a:ln w="28440">
              <a:solidFill>
                <a:srgbClr val="1f3864"/>
              </a:solidFill>
              <a:round/>
            </a:ln>
          </c:spPr>
          <c:marker>
            <c:symbol val="circle"/>
            <c:size val="5"/>
            <c:spPr>
              <a:solidFill>
                <a:srgbClr val="1f3864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BTC_Sensitivity!$B$6:$B$22</c:f>
              <c:numCache>
                <c:formatCode>\$#,##0</c:formatCode>
                <c:ptCount val="17"/>
                <c:pt idx="0">
                  <c:v>20000</c:v>
                </c:pt>
                <c:pt idx="1">
                  <c:v>25000</c:v>
                </c:pt>
                <c:pt idx="2">
                  <c:v>30000</c:v>
                </c:pt>
                <c:pt idx="3">
                  <c:v>35000</c:v>
                </c:pt>
                <c:pt idx="4">
                  <c:v>40000</c:v>
                </c:pt>
                <c:pt idx="5">
                  <c:v>45000</c:v>
                </c:pt>
                <c:pt idx="6">
                  <c:v>50000</c:v>
                </c:pt>
                <c:pt idx="7">
                  <c:v>55000</c:v>
                </c:pt>
                <c:pt idx="8">
                  <c:v>60000</c:v>
                </c:pt>
                <c:pt idx="9">
                  <c:v>65000</c:v>
                </c:pt>
                <c:pt idx="10">
                  <c:v>70000</c:v>
                </c:pt>
                <c:pt idx="11">
                  <c:v>80000</c:v>
                </c:pt>
                <c:pt idx="12">
                  <c:v>90000</c:v>
                </c:pt>
                <c:pt idx="13">
                  <c:v>100000</c:v>
                </c:pt>
                <c:pt idx="14">
                  <c:v>125000</c:v>
                </c:pt>
                <c:pt idx="15">
                  <c:v>150000</c:v>
                </c:pt>
                <c:pt idx="16">
                  <c:v>200000</c:v>
                </c:pt>
              </c:numCache>
            </c:numRef>
          </c:xVal>
          <c:yVal>
            <c:numRef>
              <c:f>BTC_Sensitivity!$S$6:$S$22</c:f>
              <c:numCache>
                <c:formatCode>#,##0;\(#,##0\)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2920.3291</c:v>
                </c:pt>
                <c:pt idx="3">
                  <c:v>6928.26035</c:v>
                </c:pt>
                <c:pt idx="4">
                  <c:v>10936.1916</c:v>
                </c:pt>
                <c:pt idx="5">
                  <c:v>14944.12285</c:v>
                </c:pt>
                <c:pt idx="6">
                  <c:v>18952.0541</c:v>
                </c:pt>
                <c:pt idx="7">
                  <c:v>22959.98535</c:v>
                </c:pt>
                <c:pt idx="8">
                  <c:v>26967.9166</c:v>
                </c:pt>
                <c:pt idx="9">
                  <c:v>30975.84785</c:v>
                </c:pt>
                <c:pt idx="10">
                  <c:v>34983.7791</c:v>
                </c:pt>
                <c:pt idx="11">
                  <c:v>42199.1216</c:v>
                </c:pt>
                <c:pt idx="12">
                  <c:v>48443.0566</c:v>
                </c:pt>
                <c:pt idx="13">
                  <c:v>54686.9916</c:v>
                </c:pt>
                <c:pt idx="14">
                  <c:v>70296.8291</c:v>
                </c:pt>
                <c:pt idx="15">
                  <c:v>85906.6666</c:v>
                </c:pt>
                <c:pt idx="16">
                  <c:v>117126.3416</c:v>
                </c:pt>
              </c:numCache>
            </c:numRef>
          </c:yVal>
          <c:smooth val="0"/>
        </c:ser>
        <c:axId val="47927279"/>
        <c:axId val="46189589"/>
      </c:scatterChart>
      <c:valAx>
        <c:axId val="47927279"/>
        <c:scaling>
          <c:orientation val="minMax"/>
          <c:max val="200000"/>
          <c:min val="0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BTC price ($ thousands)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,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6189589"/>
        <c:crosses val="autoZero"/>
        <c:crossBetween val="midCat"/>
        <c:majorUnit val="25000"/>
      </c:valAx>
      <c:valAx>
        <c:axId val="46189589"/>
        <c:scaling>
          <c:orientation val="minMax"/>
          <c:max val="150000"/>
          <c:min val="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Residual to common ($ billions)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,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7927279"/>
        <c:crosses val="autoZero"/>
        <c:crossBetween val="midCat"/>
        <c:majorUnit val="25000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6 · Years Strategy can pay ALL dividends + interest from BTC sales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"BTC only"</c:f>
              <c:strCache>
                <c:ptCount val="1"/>
                <c:pt idx="0">
                  <c:v>BTC only</c:v>
                </c:pt>
              </c:strCache>
            </c:strRef>
          </c:tx>
          <c:spPr>
            <a:solidFill>
              <a:srgbClr val="8496af"/>
            </a:solidFill>
            <a:ln w="25560">
              <a:solidFill>
                <a:srgbClr val="8496a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Going_Concern!$A$33:$A$49</c:f>
              <c:numCache>
                <c:formatCode>\$#,##0</c:formatCode>
                <c:ptCount val="17"/>
                <c:pt idx="0">
                  <c:v>20000</c:v>
                </c:pt>
                <c:pt idx="1">
                  <c:v>25000</c:v>
                </c:pt>
                <c:pt idx="2">
                  <c:v>30000</c:v>
                </c:pt>
                <c:pt idx="3">
                  <c:v>35000</c:v>
                </c:pt>
                <c:pt idx="4">
                  <c:v>40000</c:v>
                </c:pt>
                <c:pt idx="5">
                  <c:v>45000</c:v>
                </c:pt>
                <c:pt idx="6">
                  <c:v>50000</c:v>
                </c:pt>
                <c:pt idx="7">
                  <c:v>55000</c:v>
                </c:pt>
                <c:pt idx="8">
                  <c:v>60000</c:v>
                </c:pt>
                <c:pt idx="9">
                  <c:v>65000</c:v>
                </c:pt>
                <c:pt idx="10">
                  <c:v>70000</c:v>
                </c:pt>
                <c:pt idx="11">
                  <c:v>80000</c:v>
                </c:pt>
                <c:pt idx="12">
                  <c:v>90000</c:v>
                </c:pt>
                <c:pt idx="13">
                  <c:v>100000</c:v>
                </c:pt>
                <c:pt idx="14">
                  <c:v>125000</c:v>
                </c:pt>
                <c:pt idx="15">
                  <c:v>150000</c:v>
                </c:pt>
                <c:pt idx="16">
                  <c:v>200000</c:v>
                </c:pt>
              </c:numCache>
            </c:numRef>
          </c:xVal>
          <c:yVal>
            <c:numRef>
              <c:f>Going_Concern!$D$33:$D$49</c:f>
              <c:numCache>
                <c:formatCode>0.0</c:formatCode>
                <c:ptCount val="17"/>
                <c:pt idx="0">
                  <c:v>9.8838015400784</c:v>
                </c:pt>
                <c:pt idx="1">
                  <c:v>12.354751925098</c:v>
                </c:pt>
                <c:pt idx="2">
                  <c:v>14.8257023101176</c:v>
                </c:pt>
                <c:pt idx="3">
                  <c:v>17.2966526951372</c:v>
                </c:pt>
                <c:pt idx="4">
                  <c:v>19.7676030801568</c:v>
                </c:pt>
                <c:pt idx="5">
                  <c:v>22.2385534651764</c:v>
                </c:pt>
                <c:pt idx="6">
                  <c:v>24.709503850196</c:v>
                </c:pt>
                <c:pt idx="7">
                  <c:v>27.1804542352156</c:v>
                </c:pt>
                <c:pt idx="8">
                  <c:v>29.6514046202352</c:v>
                </c:pt>
                <c:pt idx="9">
                  <c:v>32.1223550052548</c:v>
                </c:pt>
                <c:pt idx="10">
                  <c:v>34.5933053902744</c:v>
                </c:pt>
                <c:pt idx="11">
                  <c:v>39.5352061603136</c:v>
                </c:pt>
                <c:pt idx="12">
                  <c:v>44.4771069303528</c:v>
                </c:pt>
                <c:pt idx="13">
                  <c:v>49.419007700392</c:v>
                </c:pt>
                <c:pt idx="14">
                  <c:v>61.77375962549</c:v>
                </c:pt>
                <c:pt idx="15">
                  <c:v>74.128511550588</c:v>
                </c:pt>
                <c:pt idx="16">
                  <c:v>98.838015400784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"BTC + cash reserve"</c:f>
              <c:strCache>
                <c:ptCount val="1"/>
                <c:pt idx="0">
                  <c:v>BTC + cash reserve</c:v>
                </c:pt>
              </c:strCache>
            </c:strRef>
          </c:tx>
          <c:spPr>
            <a:solidFill>
              <a:srgbClr val="1f3864"/>
            </a:solidFill>
            <a:ln w="28440">
              <a:solidFill>
                <a:srgbClr val="1f3864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Going_Concern!$A$33:$A$49</c:f>
              <c:numCache>
                <c:formatCode>\$#,##0</c:formatCode>
                <c:ptCount val="17"/>
                <c:pt idx="0">
                  <c:v>20000</c:v>
                </c:pt>
                <c:pt idx="1">
                  <c:v>25000</c:v>
                </c:pt>
                <c:pt idx="2">
                  <c:v>30000</c:v>
                </c:pt>
                <c:pt idx="3">
                  <c:v>35000</c:v>
                </c:pt>
                <c:pt idx="4">
                  <c:v>40000</c:v>
                </c:pt>
                <c:pt idx="5">
                  <c:v>45000</c:v>
                </c:pt>
                <c:pt idx="6">
                  <c:v>50000</c:v>
                </c:pt>
                <c:pt idx="7">
                  <c:v>55000</c:v>
                </c:pt>
                <c:pt idx="8">
                  <c:v>60000</c:v>
                </c:pt>
                <c:pt idx="9">
                  <c:v>65000</c:v>
                </c:pt>
                <c:pt idx="10">
                  <c:v>70000</c:v>
                </c:pt>
                <c:pt idx="11">
                  <c:v>80000</c:v>
                </c:pt>
                <c:pt idx="12">
                  <c:v>90000</c:v>
                </c:pt>
                <c:pt idx="13">
                  <c:v>100000</c:v>
                </c:pt>
                <c:pt idx="14">
                  <c:v>125000</c:v>
                </c:pt>
                <c:pt idx="15">
                  <c:v>150000</c:v>
                </c:pt>
                <c:pt idx="16">
                  <c:v>200000</c:v>
                </c:pt>
              </c:numCache>
            </c:numRef>
          </c:xVal>
          <c:yVal>
            <c:numRef>
              <c:f>Going_Concern!$E$33:$E$49</c:f>
              <c:numCache>
                <c:formatCode>0.0</c:formatCode>
                <c:ptCount val="17"/>
                <c:pt idx="0">
                  <c:v>11.377309520713</c:v>
                </c:pt>
                <c:pt idx="1">
                  <c:v>13.8482599057326</c:v>
                </c:pt>
                <c:pt idx="2">
                  <c:v>16.3192102907522</c:v>
                </c:pt>
                <c:pt idx="3">
                  <c:v>18.7901606757718</c:v>
                </c:pt>
                <c:pt idx="4">
                  <c:v>21.2611110607914</c:v>
                </c:pt>
                <c:pt idx="5">
                  <c:v>23.732061445811</c:v>
                </c:pt>
                <c:pt idx="6">
                  <c:v>26.2030118308306</c:v>
                </c:pt>
                <c:pt idx="7">
                  <c:v>28.6739622158502</c:v>
                </c:pt>
                <c:pt idx="8">
                  <c:v>31.1449126008698</c:v>
                </c:pt>
                <c:pt idx="9">
                  <c:v>33.6158629858894</c:v>
                </c:pt>
                <c:pt idx="10">
                  <c:v>36.086813370909</c:v>
                </c:pt>
                <c:pt idx="11">
                  <c:v>41.0287141409482</c:v>
                </c:pt>
                <c:pt idx="12">
                  <c:v>45.9706149109874</c:v>
                </c:pt>
                <c:pt idx="13">
                  <c:v>50.9125156810266</c:v>
                </c:pt>
                <c:pt idx="14">
                  <c:v>63.2672676061246</c:v>
                </c:pt>
                <c:pt idx="15">
                  <c:v>75.6220195312227</c:v>
                </c:pt>
                <c:pt idx="16">
                  <c:v>100.331523381419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"After repaying all debt first"</c:f>
              <c:strCache>
                <c:ptCount val="1"/>
                <c:pt idx="0">
                  <c:v>After repaying all debt first</c:v>
                </c:pt>
              </c:strCache>
            </c:strRef>
          </c:tx>
          <c:spPr>
            <a:solidFill>
              <a:srgbClr val="142e46"/>
            </a:solidFill>
            <a:ln w="25560">
              <a:solidFill>
                <a:srgbClr val="142e46"/>
              </a:solidFill>
              <a:prstDash val="dash"/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Going_Concern!$A$33:$A$49</c:f>
              <c:numCache>
                <c:formatCode>\$#,##0</c:formatCode>
                <c:ptCount val="17"/>
                <c:pt idx="0">
                  <c:v>20000</c:v>
                </c:pt>
                <c:pt idx="1">
                  <c:v>25000</c:v>
                </c:pt>
                <c:pt idx="2">
                  <c:v>30000</c:v>
                </c:pt>
                <c:pt idx="3">
                  <c:v>35000</c:v>
                </c:pt>
                <c:pt idx="4">
                  <c:v>40000</c:v>
                </c:pt>
                <c:pt idx="5">
                  <c:v>45000</c:v>
                </c:pt>
                <c:pt idx="6">
                  <c:v>50000</c:v>
                </c:pt>
                <c:pt idx="7">
                  <c:v>55000</c:v>
                </c:pt>
                <c:pt idx="8">
                  <c:v>60000</c:v>
                </c:pt>
                <c:pt idx="9">
                  <c:v>65000</c:v>
                </c:pt>
                <c:pt idx="10">
                  <c:v>70000</c:v>
                </c:pt>
                <c:pt idx="11">
                  <c:v>80000</c:v>
                </c:pt>
                <c:pt idx="12">
                  <c:v>90000</c:v>
                </c:pt>
                <c:pt idx="13">
                  <c:v>100000</c:v>
                </c:pt>
                <c:pt idx="14">
                  <c:v>125000</c:v>
                </c:pt>
                <c:pt idx="15">
                  <c:v>150000</c:v>
                </c:pt>
                <c:pt idx="16">
                  <c:v>200000</c:v>
                </c:pt>
              </c:numCache>
            </c:numRef>
          </c:xVal>
          <c:yVal>
            <c:numRef>
              <c:f>Going_Concern!$F$33:$F$49</c:f>
              <c:numCache>
                <c:formatCode>0.0</c:formatCode>
                <c:ptCount val="17"/>
                <c:pt idx="0">
                  <c:v>6.28778983617851</c:v>
                </c:pt>
                <c:pt idx="1">
                  <c:v>8.75874022119811</c:v>
                </c:pt>
                <c:pt idx="2">
                  <c:v>11.2296906062177</c:v>
                </c:pt>
                <c:pt idx="3">
                  <c:v>13.7006409912373</c:v>
                </c:pt>
                <c:pt idx="4">
                  <c:v>16.1715913762569</c:v>
                </c:pt>
                <c:pt idx="5">
                  <c:v>18.6425417612765</c:v>
                </c:pt>
                <c:pt idx="6">
                  <c:v>21.1134921462961</c:v>
                </c:pt>
                <c:pt idx="7">
                  <c:v>23.5844425313157</c:v>
                </c:pt>
                <c:pt idx="8">
                  <c:v>26.0553929163353</c:v>
                </c:pt>
                <c:pt idx="9">
                  <c:v>28.5263433013549</c:v>
                </c:pt>
                <c:pt idx="10">
                  <c:v>30.9972936863745</c:v>
                </c:pt>
                <c:pt idx="11">
                  <c:v>35.9391944564137</c:v>
                </c:pt>
                <c:pt idx="12">
                  <c:v>40.8810952264529</c:v>
                </c:pt>
                <c:pt idx="13">
                  <c:v>45.8229959964921</c:v>
                </c:pt>
                <c:pt idx="14">
                  <c:v>58.1777479215901</c:v>
                </c:pt>
                <c:pt idx="15">
                  <c:v>70.5324998466881</c:v>
                </c:pt>
                <c:pt idx="16">
                  <c:v>95.2420036968841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"Keeping STRC coverage &gt;= 1.0x"</c:f>
              <c:strCache>
                <c:ptCount val="1"/>
                <c:pt idx="0">
                  <c:v>Keeping STRC coverage &gt;= 1.0x</c:v>
                </c:pt>
              </c:strCache>
            </c:strRef>
          </c:tx>
          <c:spPr>
            <a:solidFill>
              <a:srgbClr val="b69d64"/>
            </a:solidFill>
            <a:ln w="38160">
              <a:solidFill>
                <a:srgbClr val="b69d64"/>
              </a:solidFill>
              <a:round/>
            </a:ln>
          </c:spPr>
          <c:marker>
            <c:symbol val="circle"/>
            <c:size val="5"/>
            <c:spPr>
              <a:solidFill>
                <a:srgbClr val="b69d64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Going_Concern!$A$33:$A$49</c:f>
              <c:numCache>
                <c:formatCode>\$#,##0</c:formatCode>
                <c:ptCount val="17"/>
                <c:pt idx="0">
                  <c:v>20000</c:v>
                </c:pt>
                <c:pt idx="1">
                  <c:v>25000</c:v>
                </c:pt>
                <c:pt idx="2">
                  <c:v>30000</c:v>
                </c:pt>
                <c:pt idx="3">
                  <c:v>35000</c:v>
                </c:pt>
                <c:pt idx="4">
                  <c:v>40000</c:v>
                </c:pt>
                <c:pt idx="5">
                  <c:v>45000</c:v>
                </c:pt>
                <c:pt idx="6">
                  <c:v>50000</c:v>
                </c:pt>
                <c:pt idx="7">
                  <c:v>55000</c:v>
                </c:pt>
                <c:pt idx="8">
                  <c:v>60000</c:v>
                </c:pt>
                <c:pt idx="9">
                  <c:v>65000</c:v>
                </c:pt>
                <c:pt idx="10">
                  <c:v>70000</c:v>
                </c:pt>
                <c:pt idx="11">
                  <c:v>80000</c:v>
                </c:pt>
                <c:pt idx="12">
                  <c:v>90000</c:v>
                </c:pt>
                <c:pt idx="13">
                  <c:v>100000</c:v>
                </c:pt>
                <c:pt idx="14">
                  <c:v>125000</c:v>
                </c:pt>
                <c:pt idx="15">
                  <c:v>150000</c:v>
                </c:pt>
                <c:pt idx="16">
                  <c:v>200000</c:v>
                </c:pt>
              </c:numCache>
            </c:numRef>
          </c:xVal>
          <c:yVal>
            <c:numRef>
              <c:f>Going_Concern!$G$33:$G$49</c:f>
              <c:numCache>
                <c:formatCode>0.0</c:formatCode>
                <c:ptCount val="17"/>
                <c:pt idx="0">
                  <c:v>0</c:v>
                </c:pt>
                <c:pt idx="1">
                  <c:v>2.14983919947924</c:v>
                </c:pt>
                <c:pt idx="2">
                  <c:v>4.62078958449884</c:v>
                </c:pt>
                <c:pt idx="3">
                  <c:v>7.09173996951844</c:v>
                </c:pt>
                <c:pt idx="4">
                  <c:v>9.56269035453804</c:v>
                </c:pt>
                <c:pt idx="5">
                  <c:v>12.0336407395576</c:v>
                </c:pt>
                <c:pt idx="6">
                  <c:v>14.5045911245772</c:v>
                </c:pt>
                <c:pt idx="7">
                  <c:v>16.9755415095968</c:v>
                </c:pt>
                <c:pt idx="8">
                  <c:v>19.4464918946164</c:v>
                </c:pt>
                <c:pt idx="9">
                  <c:v>21.917442279636</c:v>
                </c:pt>
                <c:pt idx="10">
                  <c:v>24.3883926646556</c:v>
                </c:pt>
                <c:pt idx="11">
                  <c:v>29.3302934346948</c:v>
                </c:pt>
                <c:pt idx="12">
                  <c:v>34.272194204734</c:v>
                </c:pt>
                <c:pt idx="13">
                  <c:v>39.2140949747732</c:v>
                </c:pt>
                <c:pt idx="14">
                  <c:v>51.5688468998712</c:v>
                </c:pt>
                <c:pt idx="15">
                  <c:v>63.9235988249692</c:v>
                </c:pt>
                <c:pt idx="16">
                  <c:v>88.6331026751653</c:v>
                </c:pt>
              </c:numCache>
            </c:numRef>
          </c:yVal>
          <c:smooth val="0"/>
        </c:ser>
        <c:axId val="97477022"/>
        <c:axId val="65575294"/>
      </c:scatterChart>
      <c:valAx>
        <c:axId val="97477022"/>
        <c:scaling>
          <c:orientation val="minMax"/>
          <c:max val="200000"/>
          <c:min val="0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BTC price ($ thousands)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,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5575294"/>
        <c:crosses val="autoZero"/>
        <c:crossBetween val="midCat"/>
        <c:majorUnit val="25000"/>
      </c:valAx>
      <c:valAx>
        <c:axId val="65575294"/>
        <c:scaling>
          <c:orientation val="minMax"/>
          <c:max val="105"/>
          <c:min val="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Runway (years, constant price)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7477022"/>
        <c:crosses val="autoZero"/>
        <c:crossBetween val="midCat"/>
        <c:majorUnit val="15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7 · STRC 100%-recovery break-even vs new issuance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"Senior, proceeds to BTC"</c:f>
              <c:strCache>
                <c:ptCount val="1"/>
                <c:pt idx="0">
                  <c:v>Senior, proceeds to BTC</c:v>
                </c:pt>
              </c:strCache>
            </c:strRef>
          </c:tx>
          <c:spPr>
            <a:solidFill>
              <a:srgbClr val="1f3864"/>
            </a:solidFill>
            <a:ln w="28440">
              <a:solidFill>
                <a:srgbClr val="1f3864"/>
              </a:solidFill>
              <a:round/>
            </a:ln>
          </c:spPr>
          <c:marker>
            <c:symbol val="circle"/>
            <c:size val="5"/>
            <c:spPr>
              <a:solidFill>
                <a:srgbClr val="1f3864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Dynamic_Issuance!$A$7:$A$10</c:f>
              <c:numCache>
                <c:formatCode>#,##0;\(#,##0\)</c:formatCode>
                <c:ptCount val="4"/>
                <c:pt idx="0">
                  <c:v>0</c:v>
                </c:pt>
                <c:pt idx="1">
                  <c:v>2000</c:v>
                </c:pt>
                <c:pt idx="2">
                  <c:v>5000</c:v>
                </c:pt>
                <c:pt idx="3">
                  <c:v>10000</c:v>
                </c:pt>
              </c:numCache>
            </c:numRef>
          </c:xVal>
          <c:yVal>
            <c:numRef>
              <c:f>Dynamic_Issuance!$B$7:$B$10</c:f>
              <c:numCache>
                <c:formatCode>\$#,##0</c:formatCode>
                <c:ptCount val="4"/>
                <c:pt idx="0">
                  <c:v>21736.6027673254</c:v>
                </c:pt>
                <c:pt idx="1">
                  <c:v>23359.6950960535</c:v>
                </c:pt>
                <c:pt idx="2">
                  <c:v>25586.5279863876</c:v>
                </c:pt>
                <c:pt idx="3">
                  <c:v>28830.9258968665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"Senior, proceeds burned"</c:f>
              <c:strCache>
                <c:ptCount val="1"/>
                <c:pt idx="0">
                  <c:v>Senior, proceeds burned</c:v>
                </c:pt>
              </c:strCache>
            </c:strRef>
          </c:tx>
          <c:spPr>
            <a:solidFill>
              <a:srgbClr val="142e46"/>
            </a:solidFill>
            <a:ln w="28440">
              <a:solidFill>
                <a:srgbClr val="142e46"/>
              </a:solidFill>
              <a:prstDash val="dash"/>
              <a:round/>
            </a:ln>
          </c:spPr>
          <c:marker>
            <c:symbol val="circle"/>
            <c:size val="5"/>
            <c:spPr>
              <a:solidFill>
                <a:srgbClr val="142e4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Dynamic_Issuance!$A$7:$A$10</c:f>
              <c:numCache>
                <c:formatCode>#,##0;\(#,##0\)</c:formatCode>
                <c:ptCount val="4"/>
                <c:pt idx="0">
                  <c:v>0</c:v>
                </c:pt>
                <c:pt idx="1">
                  <c:v>2000</c:v>
                </c:pt>
                <c:pt idx="2">
                  <c:v>5000</c:v>
                </c:pt>
                <c:pt idx="3">
                  <c:v>10000</c:v>
                </c:pt>
              </c:numCache>
            </c:numRef>
          </c:xVal>
          <c:yVal>
            <c:numRef>
              <c:f>Dynamic_Issuance!$C$7:$C$10</c:f>
              <c:numCache>
                <c:formatCode>\$#,##0</c:formatCode>
                <c:ptCount val="4"/>
                <c:pt idx="0">
                  <c:v>21736.6027673254</c:v>
                </c:pt>
                <c:pt idx="1">
                  <c:v>24231.6555454887</c:v>
                </c:pt>
                <c:pt idx="2">
                  <c:v>27974.2347127337</c:v>
                </c:pt>
                <c:pt idx="3">
                  <c:v>34211.8666581419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"Pari (new STRC), to BTC"</c:f>
              <c:strCache>
                <c:ptCount val="1"/>
                <c:pt idx="0">
                  <c:v>Pari (new STRC), to BTC</c:v>
                </c:pt>
              </c:strCache>
            </c:strRef>
          </c:tx>
          <c:spPr>
            <a:solidFill>
              <a:srgbClr val="b69d64"/>
            </a:solidFill>
            <a:ln w="28440">
              <a:solidFill>
                <a:srgbClr val="b69d64"/>
              </a:solidFill>
              <a:round/>
            </a:ln>
          </c:spPr>
          <c:marker>
            <c:symbol val="circle"/>
            <c:size val="5"/>
            <c:spPr>
              <a:solidFill>
                <a:srgbClr val="b69d64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Dynamic_Issuance!$A$7:$A$10</c:f>
              <c:numCache>
                <c:formatCode>#,##0;\(#,##0\)</c:formatCode>
                <c:ptCount val="4"/>
                <c:pt idx="0">
                  <c:v>0</c:v>
                </c:pt>
                <c:pt idx="1">
                  <c:v>2000</c:v>
                </c:pt>
                <c:pt idx="2">
                  <c:v>5000</c:v>
                </c:pt>
                <c:pt idx="3">
                  <c:v>10000</c:v>
                </c:pt>
              </c:numCache>
            </c:numRef>
          </c:xVal>
          <c:yVal>
            <c:numRef>
              <c:f>Dynamic_Issuance!$D$7:$D$10</c:f>
              <c:numCache>
                <c:formatCode>\$#,##0</c:formatCode>
                <c:ptCount val="4"/>
                <c:pt idx="0">
                  <c:v>21736.6027673254</c:v>
                </c:pt>
                <c:pt idx="1">
                  <c:v>23359.6950960535</c:v>
                </c:pt>
                <c:pt idx="2">
                  <c:v>25586.5279863876</c:v>
                </c:pt>
                <c:pt idx="3">
                  <c:v>28830.9258968665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"Pari, proceeds burned"</c:f>
              <c:strCache>
                <c:ptCount val="1"/>
                <c:pt idx="0">
                  <c:v>Pari, proceeds burned</c:v>
                </c:pt>
              </c:strCache>
            </c:strRef>
          </c:tx>
          <c:spPr>
            <a:solidFill>
              <a:srgbClr val="c9a84c"/>
            </a:solidFill>
            <a:ln w="28440">
              <a:solidFill>
                <a:srgbClr val="c9a84c"/>
              </a:solidFill>
              <a:prstDash val="dash"/>
              <a:round/>
            </a:ln>
          </c:spPr>
          <c:marker>
            <c:symbol val="circle"/>
            <c:size val="5"/>
            <c:spPr>
              <a:solidFill>
                <a:srgbClr val="c9a84c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Dynamic_Issuance!$A$7:$A$10</c:f>
              <c:numCache>
                <c:formatCode>#,##0;\(#,##0\)</c:formatCode>
                <c:ptCount val="4"/>
                <c:pt idx="0">
                  <c:v>0</c:v>
                </c:pt>
                <c:pt idx="1">
                  <c:v>2000</c:v>
                </c:pt>
                <c:pt idx="2">
                  <c:v>5000</c:v>
                </c:pt>
                <c:pt idx="3">
                  <c:v>10000</c:v>
                </c:pt>
              </c:numCache>
            </c:numRef>
          </c:xVal>
          <c:yVal>
            <c:numRef>
              <c:f>Dynamic_Issuance!$E$7:$E$10</c:f>
              <c:numCache>
                <c:formatCode>\$#,##0</c:formatCode>
                <c:ptCount val="4"/>
                <c:pt idx="0">
                  <c:v>21736.6027673254</c:v>
                </c:pt>
                <c:pt idx="1">
                  <c:v>24231.6555454887</c:v>
                </c:pt>
                <c:pt idx="2">
                  <c:v>27974.2347127337</c:v>
                </c:pt>
                <c:pt idx="3">
                  <c:v>34211.8666581419</c:v>
                </c:pt>
              </c:numCache>
            </c:numRef>
          </c:yVal>
          <c:smooth val="0"/>
        </c:ser>
        <c:axId val="45472867"/>
        <c:axId val="79067655"/>
      </c:scatterChart>
      <c:valAx>
        <c:axId val="45472867"/>
        <c:scaling>
          <c:orientation val="minMax"/>
          <c:max val="10000"/>
          <c:min val="0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New senior / pari issuance ($ billions)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,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9067655"/>
        <c:crosses val="autoZero"/>
        <c:crossBetween val="midCat"/>
        <c:majorUnit val="2500"/>
      </c:valAx>
      <c:valAx>
        <c:axId val="79067655"/>
        <c:scaling>
          <c:orientation val="minMax"/>
          <c:max val="36000"/>
          <c:min val="200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Break-even BTC 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5472867"/>
        <c:crosses val="autoZero"/>
        <c:crossBetween val="midCat"/>
        <c:majorUnit val="4000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160920</xdr:rowOff>
    </xdr:from>
    <xdr:to>
      <xdr:col>10</xdr:col>
      <xdr:colOff>76680</xdr:colOff>
      <xdr:row>21</xdr:row>
      <xdr:rowOff>141120</xdr:rowOff>
    </xdr:to>
    <xdr:graphicFrame>
      <xdr:nvGraphicFramePr>
        <xdr:cNvPr id="0" name="Chart 1"/>
        <xdr:cNvGraphicFramePr/>
      </xdr:nvGraphicFramePr>
      <xdr:xfrm>
        <a:off x="0" y="571680"/>
        <a:ext cx="61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2</xdr:row>
      <xdr:rowOff>160920</xdr:rowOff>
    </xdr:from>
    <xdr:to>
      <xdr:col>21</xdr:col>
      <xdr:colOff>76680</xdr:colOff>
      <xdr:row>21</xdr:row>
      <xdr:rowOff>141120</xdr:rowOff>
    </xdr:to>
    <xdr:graphicFrame>
      <xdr:nvGraphicFramePr>
        <xdr:cNvPr id="1" name="Chart 2"/>
        <xdr:cNvGraphicFramePr/>
      </xdr:nvGraphicFramePr>
      <xdr:xfrm>
        <a:off x="6726600" y="571680"/>
        <a:ext cx="61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23</xdr:row>
      <xdr:rowOff>160560</xdr:rowOff>
    </xdr:from>
    <xdr:to>
      <xdr:col>10</xdr:col>
      <xdr:colOff>76680</xdr:colOff>
      <xdr:row>42</xdr:row>
      <xdr:rowOff>140760</xdr:rowOff>
    </xdr:to>
    <xdr:graphicFrame>
      <xdr:nvGraphicFramePr>
        <xdr:cNvPr id="2" name="Chart 3"/>
        <xdr:cNvGraphicFramePr/>
      </xdr:nvGraphicFramePr>
      <xdr:xfrm>
        <a:off x="0" y="4572000"/>
        <a:ext cx="61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23</xdr:row>
      <xdr:rowOff>160560</xdr:rowOff>
    </xdr:from>
    <xdr:to>
      <xdr:col>21</xdr:col>
      <xdr:colOff>76680</xdr:colOff>
      <xdr:row>42</xdr:row>
      <xdr:rowOff>140760</xdr:rowOff>
    </xdr:to>
    <xdr:graphicFrame>
      <xdr:nvGraphicFramePr>
        <xdr:cNvPr id="3" name="Chart 4"/>
        <xdr:cNvGraphicFramePr/>
      </xdr:nvGraphicFramePr>
      <xdr:xfrm>
        <a:off x="6726600" y="4572000"/>
        <a:ext cx="61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44</xdr:row>
      <xdr:rowOff>160920</xdr:rowOff>
    </xdr:from>
    <xdr:to>
      <xdr:col>10</xdr:col>
      <xdr:colOff>76680</xdr:colOff>
      <xdr:row>63</xdr:row>
      <xdr:rowOff>141120</xdr:rowOff>
    </xdr:to>
    <xdr:graphicFrame>
      <xdr:nvGraphicFramePr>
        <xdr:cNvPr id="4" name="Chart 5"/>
        <xdr:cNvGraphicFramePr/>
      </xdr:nvGraphicFramePr>
      <xdr:xfrm>
        <a:off x="0" y="8572680"/>
        <a:ext cx="61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11</xdr:col>
      <xdr:colOff>0</xdr:colOff>
      <xdr:row>44</xdr:row>
      <xdr:rowOff>160920</xdr:rowOff>
    </xdr:from>
    <xdr:to>
      <xdr:col>21</xdr:col>
      <xdr:colOff>76680</xdr:colOff>
      <xdr:row>63</xdr:row>
      <xdr:rowOff>141120</xdr:rowOff>
    </xdr:to>
    <xdr:graphicFrame>
      <xdr:nvGraphicFramePr>
        <xdr:cNvPr id="5" name="Chart 6"/>
        <xdr:cNvGraphicFramePr/>
      </xdr:nvGraphicFramePr>
      <xdr:xfrm>
        <a:off x="6726600" y="8572680"/>
        <a:ext cx="61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65</xdr:row>
      <xdr:rowOff>160560</xdr:rowOff>
    </xdr:from>
    <xdr:to>
      <xdr:col>10</xdr:col>
      <xdr:colOff>76680</xdr:colOff>
      <xdr:row>84</xdr:row>
      <xdr:rowOff>140760</xdr:rowOff>
    </xdr:to>
    <xdr:graphicFrame>
      <xdr:nvGraphicFramePr>
        <xdr:cNvPr id="6" name="Chart 7"/>
        <xdr:cNvGraphicFramePr/>
      </xdr:nvGraphicFramePr>
      <xdr:xfrm>
        <a:off x="0" y="12573000"/>
        <a:ext cx="61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B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150"/>
  </cols>
  <sheetData>
    <row r="1" customFormat="false" ht="17.2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</row>
    <row r="3" customFormat="false" ht="15" hidden="false" customHeight="true" outlineLevel="0" collapsed="false">
      <c r="A3" s="4"/>
      <c r="B3" s="5"/>
    </row>
    <row r="4" customFormat="false" ht="15" hidden="false" customHeight="true" outlineLevel="0" collapsed="false">
      <c r="A4" s="6" t="s">
        <v>2</v>
      </c>
      <c r="B4" s="5" t="s">
        <v>3</v>
      </c>
    </row>
    <row r="5" customFormat="false" ht="15" hidden="false" customHeight="true" outlineLevel="0" collapsed="false">
      <c r="A5" s="4"/>
      <c r="B5" s="5"/>
    </row>
    <row r="6" customFormat="false" ht="15" hidden="false" customHeight="true" outlineLevel="0" collapsed="false">
      <c r="A6" s="6" t="s">
        <v>4</v>
      </c>
      <c r="B6" s="5"/>
    </row>
    <row r="7" customFormat="false" ht="15" hidden="false" customHeight="true" outlineLevel="0" collapsed="false">
      <c r="A7" s="6" t="s">
        <v>5</v>
      </c>
      <c r="B7" s="5" t="s">
        <v>6</v>
      </c>
    </row>
    <row r="8" customFormat="false" ht="15" hidden="false" customHeight="true" outlineLevel="0" collapsed="false">
      <c r="A8" s="6" t="s">
        <v>7</v>
      </c>
      <c r="B8" s="5" t="s">
        <v>8</v>
      </c>
    </row>
    <row r="9" customFormat="false" ht="15" hidden="false" customHeight="true" outlineLevel="0" collapsed="false">
      <c r="A9" s="6" t="s">
        <v>9</v>
      </c>
      <c r="B9" s="5" t="s">
        <v>10</v>
      </c>
    </row>
    <row r="10" customFormat="false" ht="15" hidden="false" customHeight="true" outlineLevel="0" collapsed="false">
      <c r="A10" s="6" t="s">
        <v>11</v>
      </c>
      <c r="B10" s="5" t="s">
        <v>12</v>
      </c>
    </row>
    <row r="11" customFormat="false" ht="15" hidden="false" customHeight="true" outlineLevel="0" collapsed="false">
      <c r="A11" s="6" t="s">
        <v>13</v>
      </c>
      <c r="B11" s="5" t="s">
        <v>14</v>
      </c>
    </row>
    <row r="12" customFormat="false" ht="15" hidden="false" customHeight="true" outlineLevel="0" collapsed="false">
      <c r="A12" s="6" t="s">
        <v>15</v>
      </c>
      <c r="B12" s="5" t="s">
        <v>16</v>
      </c>
    </row>
    <row r="13" customFormat="false" ht="15" hidden="false" customHeight="true" outlineLevel="0" collapsed="false">
      <c r="A13" s="6" t="s">
        <v>17</v>
      </c>
      <c r="B13" s="5" t="s">
        <v>18</v>
      </c>
    </row>
    <row r="14" customFormat="false" ht="15" hidden="false" customHeight="true" outlineLevel="0" collapsed="false">
      <c r="A14" s="6" t="s">
        <v>19</v>
      </c>
      <c r="B14" s="5" t="s">
        <v>20</v>
      </c>
    </row>
    <row r="15" customFormat="false" ht="15" hidden="false" customHeight="true" outlineLevel="0" collapsed="false">
      <c r="A15" s="6" t="s">
        <v>21</v>
      </c>
      <c r="B15" s="5" t="s">
        <v>22</v>
      </c>
    </row>
    <row r="16" customFormat="false" ht="15" hidden="false" customHeight="true" outlineLevel="0" collapsed="false">
      <c r="A16" s="6" t="s">
        <v>23</v>
      </c>
      <c r="B16" s="5" t="s">
        <v>24</v>
      </c>
    </row>
    <row r="17" customFormat="false" ht="15" hidden="false" customHeight="true" outlineLevel="0" collapsed="false">
      <c r="A17" s="6" t="s">
        <v>25</v>
      </c>
      <c r="B17" s="5" t="s">
        <v>26</v>
      </c>
    </row>
    <row r="18" customFormat="false" ht="15" hidden="false" customHeight="true" outlineLevel="0" collapsed="false">
      <c r="A18" s="6" t="s">
        <v>27</v>
      </c>
      <c r="B18" s="5" t="s">
        <v>28</v>
      </c>
    </row>
    <row r="19" customFormat="false" ht="15" hidden="false" customHeight="true" outlineLevel="0" collapsed="false">
      <c r="A19" s="4"/>
      <c r="B19" s="5"/>
    </row>
    <row r="20" customFormat="false" ht="15" hidden="false" customHeight="true" outlineLevel="0" collapsed="false">
      <c r="A20" s="6" t="s">
        <v>29</v>
      </c>
      <c r="B20" s="5"/>
    </row>
    <row r="21" customFormat="false" ht="15" hidden="false" customHeight="true" outlineLevel="0" collapsed="false">
      <c r="A21" s="6" t="s">
        <v>30</v>
      </c>
      <c r="B21" s="5" t="s">
        <v>31</v>
      </c>
    </row>
    <row r="22" customFormat="false" ht="15" hidden="false" customHeight="true" outlineLevel="0" collapsed="false">
      <c r="A22" s="6" t="s">
        <v>32</v>
      </c>
      <c r="B22" s="5" t="s">
        <v>33</v>
      </c>
    </row>
    <row r="23" customFormat="false" ht="15" hidden="false" customHeight="true" outlineLevel="0" collapsed="false">
      <c r="A23" s="6" t="s">
        <v>34</v>
      </c>
      <c r="B23" s="5" t="s">
        <v>35</v>
      </c>
    </row>
    <row r="24" customFormat="false" ht="15" hidden="false" customHeight="true" outlineLevel="0" collapsed="false">
      <c r="A24" s="6" t="s">
        <v>36</v>
      </c>
      <c r="B24" s="5" t="s">
        <v>37</v>
      </c>
    </row>
    <row r="25" customFormat="false" ht="15" hidden="false" customHeight="true" outlineLevel="0" collapsed="false">
      <c r="A25" s="6" t="s">
        <v>38</v>
      </c>
      <c r="B25" s="5" t="s">
        <v>39</v>
      </c>
    </row>
    <row r="26" customFormat="false" ht="15" hidden="false" customHeight="true" outlineLevel="0" collapsed="false">
      <c r="A26" s="4"/>
      <c r="B26" s="5"/>
    </row>
    <row r="27" customFormat="false" ht="15" hidden="false" customHeight="true" outlineLevel="0" collapsed="false">
      <c r="A27" s="6" t="s">
        <v>40</v>
      </c>
      <c r="B27" s="5"/>
    </row>
    <row r="28" customFormat="false" ht="15" hidden="false" customHeight="true" outlineLevel="0" collapsed="false">
      <c r="A28" s="6" t="s">
        <v>41</v>
      </c>
      <c r="B28" s="5" t="s">
        <v>42</v>
      </c>
    </row>
    <row r="29" customFormat="false" ht="15" hidden="false" customHeight="true" outlineLevel="0" collapsed="false">
      <c r="A29" s="6" t="s">
        <v>43</v>
      </c>
      <c r="B29" s="5" t="s">
        <v>44</v>
      </c>
    </row>
    <row r="30" customFormat="false" ht="15" hidden="false" customHeight="true" outlineLevel="0" collapsed="false">
      <c r="A30" s="6" t="s">
        <v>45</v>
      </c>
      <c r="B30" s="5" t="s">
        <v>46</v>
      </c>
    </row>
    <row r="31" customFormat="false" ht="15" hidden="false" customHeight="true" outlineLevel="0" collapsed="false">
      <c r="A31" s="6" t="s">
        <v>47</v>
      </c>
      <c r="B31" s="5" t="s">
        <v>48</v>
      </c>
    </row>
    <row r="32" customFormat="false" ht="15" hidden="false" customHeight="true" outlineLevel="0" collapsed="false">
      <c r="A32" s="6" t="s">
        <v>49</v>
      </c>
      <c r="B32" s="5" t="s">
        <v>50</v>
      </c>
    </row>
    <row r="33" customFormat="false" ht="15" hidden="false" customHeight="true" outlineLevel="0" collapsed="false">
      <c r="A33" s="6" t="s">
        <v>51</v>
      </c>
      <c r="B33" s="5" t="s">
        <v>52</v>
      </c>
    </row>
    <row r="34" customFormat="false" ht="15" hidden="false" customHeight="true" outlineLevel="0" collapsed="false">
      <c r="A34" s="4"/>
      <c r="B34" s="5"/>
    </row>
    <row r="35" customFormat="false" ht="15" hidden="false" customHeight="true" outlineLevel="0" collapsed="false">
      <c r="A35" s="6" t="s">
        <v>53</v>
      </c>
      <c r="B35" s="5" t="s">
        <v>54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42E46"/>
    <pageSetUpPr fitToPage="false"/>
  </sheetPr>
  <dimension ref="A1:G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6"/>
    <col collapsed="false" customWidth="true" hidden="false" outlineLevel="0" max="2" min="2" style="0" width="22"/>
    <col collapsed="false" customWidth="true" hidden="false" outlineLevel="0" max="4" min="3" style="0" width="20"/>
    <col collapsed="false" customWidth="true" hidden="false" outlineLevel="0" max="5" min="5" style="0" width="22"/>
    <col collapsed="false" customWidth="true" hidden="false" outlineLevel="0" max="7" min="6" style="0" width="26"/>
  </cols>
  <sheetData>
    <row r="1" customFormat="false" ht="17.35" hidden="false" customHeight="false" outlineLevel="0" collapsed="false">
      <c r="A1" s="2" t="s">
        <v>336</v>
      </c>
    </row>
    <row r="2" customFormat="false" ht="15" hidden="false" customHeight="false" outlineLevel="0" collapsed="false">
      <c r="A2" s="3" t="s">
        <v>337</v>
      </c>
    </row>
    <row r="3" customFormat="false" ht="15" hidden="false" customHeight="false" outlineLevel="0" collapsed="false">
      <c r="A3" s="7" t="s">
        <v>338</v>
      </c>
      <c r="B3" s="59"/>
      <c r="C3" s="59"/>
      <c r="D3" s="59"/>
      <c r="E3" s="59"/>
      <c r="F3" s="59"/>
      <c r="G3" s="59"/>
    </row>
    <row r="4" customFormat="false" ht="15" hidden="false" customHeight="false" outlineLevel="0" collapsed="false">
      <c r="A4" s="4" t="s">
        <v>339</v>
      </c>
      <c r="B4" s="60" t="n">
        <f aca="false">Debt!I11</f>
        <v>34.59451625</v>
      </c>
    </row>
    <row r="5" customFormat="false" ht="15" hidden="false" customHeight="false" outlineLevel="0" collapsed="false">
      <c r="A5" s="4" t="s">
        <v>340</v>
      </c>
      <c r="B5" s="60" t="n">
        <f aca="false">Debt!I10</f>
        <v>2.090036</v>
      </c>
    </row>
    <row r="6" customFormat="false" ht="15" hidden="false" customHeight="false" outlineLevel="0" collapsed="false">
      <c r="A6" s="4" t="s">
        <v>341</v>
      </c>
      <c r="B6" s="60" t="n">
        <f aca="false">Preferreds!I4</f>
        <v>128.39689</v>
      </c>
    </row>
    <row r="7" customFormat="false" ht="15" hidden="false" customHeight="false" outlineLevel="0" collapsed="false">
      <c r="A7" s="4" t="s">
        <v>342</v>
      </c>
      <c r="B7" s="60" t="n">
        <f aca="false">Preferreds!I5</f>
        <v>1200</v>
      </c>
    </row>
    <row r="8" customFormat="false" ht="15" hidden="false" customHeight="false" outlineLevel="0" collapsed="false">
      <c r="A8" s="4" t="s">
        <v>343</v>
      </c>
      <c r="B8" s="60" t="n">
        <f aca="false">Preferreds!I6</f>
        <v>89.9</v>
      </c>
    </row>
    <row r="9" customFormat="false" ht="15" hidden="false" customHeight="false" outlineLevel="0" collapsed="false">
      <c r="A9" s="4" t="s">
        <v>344</v>
      </c>
      <c r="B9" s="60" t="n">
        <f aca="false">Preferreds!I7</f>
        <v>112.165952</v>
      </c>
    </row>
    <row r="10" customFormat="false" ht="15" hidden="false" customHeight="false" outlineLevel="0" collapsed="false">
      <c r="A10" s="4" t="s">
        <v>345</v>
      </c>
      <c r="B10" s="60" t="n">
        <f aca="false">Preferreds!I8</f>
        <v>140.24221</v>
      </c>
    </row>
    <row r="11" customFormat="false" ht="15" hidden="false" customHeight="false" outlineLevel="0" collapsed="false">
      <c r="A11" s="6" t="s">
        <v>346</v>
      </c>
      <c r="B11" s="61" t="n">
        <f aca="false">SUM(B4:B10)</f>
        <v>1707.38960425</v>
      </c>
    </row>
    <row r="12" customFormat="false" ht="15" hidden="false" customHeight="false" outlineLevel="0" collapsed="false">
      <c r="A12" s="4" t="s">
        <v>347</v>
      </c>
      <c r="B12" s="62" t="n">
        <v>1760</v>
      </c>
      <c r="C12" s="10" t="s">
        <v>348</v>
      </c>
    </row>
    <row r="13" customFormat="false" ht="15" hidden="false" customHeight="false" outlineLevel="0" collapsed="false">
      <c r="A13" s="4" t="s">
        <v>349</v>
      </c>
      <c r="B13" s="63" t="n">
        <f aca="false">Assumptions!B26</f>
        <v>60</v>
      </c>
    </row>
    <row r="14" customFormat="false" ht="15" hidden="false" customHeight="false" outlineLevel="0" collapsed="false">
      <c r="A14" s="6" t="s">
        <v>350</v>
      </c>
      <c r="B14" s="64" t="n">
        <f aca="false">B11+B13</f>
        <v>1767.38960425</v>
      </c>
    </row>
    <row r="15" customFormat="false" ht="15" hidden="false" customHeight="false" outlineLevel="0" collapsed="false">
      <c r="A15" s="4" t="s">
        <v>351</v>
      </c>
      <c r="B15" s="65" t="n">
        <f aca="false">333/B11</f>
        <v>0.195034571588759</v>
      </c>
      <c r="C15" s="10" t="s">
        <v>352</v>
      </c>
    </row>
    <row r="17" customFormat="false" ht="15" hidden="false" customHeight="false" outlineLevel="0" collapsed="false">
      <c r="A17" s="7" t="s">
        <v>353</v>
      </c>
      <c r="B17" s="59"/>
      <c r="C17" s="59"/>
      <c r="D17" s="59"/>
      <c r="E17" s="59"/>
      <c r="F17" s="59"/>
      <c r="G17" s="59"/>
    </row>
    <row r="18" customFormat="false" ht="15" hidden="false" customHeight="false" outlineLevel="0" collapsed="false">
      <c r="A18" s="4" t="s">
        <v>354</v>
      </c>
      <c r="B18" s="66" t="n">
        <f aca="false">B11*1000000/Assumptions!B5</f>
        <v>26888.0252637795</v>
      </c>
    </row>
    <row r="19" customFormat="false" ht="15" hidden="false" customHeight="false" outlineLevel="0" collapsed="false">
      <c r="A19" s="4" t="s">
        <v>355</v>
      </c>
      <c r="B19" s="20" t="n">
        <f aca="false">B18/Assumptions!B6</f>
        <v>0.0318663450135161</v>
      </c>
    </row>
    <row r="20" customFormat="false" ht="15" hidden="false" customHeight="false" outlineLevel="0" collapsed="false">
      <c r="A20" s="4" t="s">
        <v>356</v>
      </c>
      <c r="B20" s="67" t="n">
        <f aca="false">Assumptions!B14/B11*12</f>
        <v>17.9220957676157</v>
      </c>
      <c r="C20" s="10" t="s">
        <v>357</v>
      </c>
    </row>
    <row r="21" customFormat="false" ht="15" hidden="false" customHeight="false" outlineLevel="0" collapsed="false">
      <c r="A21" s="4" t="s">
        <v>358</v>
      </c>
      <c r="B21" s="67" t="n">
        <f aca="false">(Assumptions!B14+1250)/B11*12</f>
        <v>26.7074368301724</v>
      </c>
    </row>
    <row r="23" customFormat="false" ht="15" hidden="false" customHeight="false" outlineLevel="0" collapsed="false">
      <c r="A23" s="6" t="s">
        <v>359</v>
      </c>
    </row>
    <row r="24" customFormat="false" ht="15" hidden="false" customHeight="false" outlineLevel="0" collapsed="false">
      <c r="A24" s="4" t="s">
        <v>360</v>
      </c>
      <c r="B24" s="68" t="n">
        <f aca="false">Assumptions!B30/B11</f>
        <v>31.3810698897489</v>
      </c>
    </row>
    <row r="25" customFormat="false" ht="15" hidden="false" customHeight="false" outlineLevel="0" collapsed="false">
      <c r="A25" s="4" t="s">
        <v>361</v>
      </c>
      <c r="B25" s="68" t="n">
        <f aca="false">(Assumptions!B30+Assumptions!B14)/B11</f>
        <v>32.8745778703836</v>
      </c>
    </row>
    <row r="26" customFormat="false" ht="15" hidden="false" customHeight="false" outlineLevel="0" collapsed="false">
      <c r="A26" s="4" t="s">
        <v>362</v>
      </c>
      <c r="B26" s="68" t="n">
        <f aca="false">MAX(0,(Assumptions!B30+Assumptions!B14-Waterfall!C16)/B11)</f>
        <v>27.785058185849</v>
      </c>
    </row>
    <row r="27" customFormat="false" ht="15" hidden="false" customHeight="false" outlineLevel="0" collapsed="false">
      <c r="A27" s="4" t="s">
        <v>363</v>
      </c>
      <c r="B27" s="68" t="n">
        <f aca="false">MAX(0,(Assumptions!B30+Assumptions!B14-Waterfall!C18)/B11)</f>
        <v>21.1761571641302</v>
      </c>
    </row>
    <row r="29" customFormat="false" ht="15" hidden="false" customHeight="false" outlineLevel="0" collapsed="false">
      <c r="A29" s="4" t="s">
        <v>364</v>
      </c>
      <c r="B29" s="69" t="n">
        <f aca="false">B11</f>
        <v>1707.38960425</v>
      </c>
    </row>
    <row r="31" customFormat="false" ht="15" hidden="false" customHeight="false" outlineLevel="0" collapsed="false">
      <c r="A31" s="7" t="s">
        <v>365</v>
      </c>
      <c r="B31" s="59"/>
      <c r="C31" s="59"/>
      <c r="D31" s="59"/>
      <c r="E31" s="59"/>
      <c r="F31" s="59"/>
      <c r="G31" s="59"/>
    </row>
    <row r="32" customFormat="false" ht="23.85" hidden="false" customHeight="false" outlineLevel="0" collapsed="false">
      <c r="A32" s="21" t="s">
        <v>256</v>
      </c>
      <c r="B32" s="21" t="s">
        <v>366</v>
      </c>
      <c r="C32" s="21" t="s">
        <v>367</v>
      </c>
      <c r="D32" s="21" t="s">
        <v>368</v>
      </c>
      <c r="E32" s="21" t="s">
        <v>369</v>
      </c>
      <c r="F32" s="21" t="s">
        <v>370</v>
      </c>
      <c r="G32" s="21" t="s">
        <v>371</v>
      </c>
    </row>
    <row r="33" customFormat="false" ht="15" hidden="false" customHeight="false" outlineLevel="0" collapsed="false">
      <c r="A33" s="70" t="n">
        <f aca="false">BTC_Sensitivity!B6</f>
        <v>20000</v>
      </c>
      <c r="B33" s="71" t="n">
        <f aca="false">$B$29*1000000/A33</f>
        <v>85369.4802125</v>
      </c>
      <c r="C33" s="20" t="n">
        <f aca="false">B33/Assumptions!$B$6</f>
        <v>0.101175645417914</v>
      </c>
      <c r="D33" s="67" t="n">
        <f aca="false">A33*Assumptions!$B$6/1000000/$B$29</f>
        <v>9.8838015400784</v>
      </c>
      <c r="E33" s="67" t="n">
        <f aca="false">(A33*Assumptions!$B$6/1000000+Assumptions!$B$14)/$B$29</f>
        <v>11.377309520713</v>
      </c>
      <c r="F33" s="67" t="n">
        <f aca="false">MAX(0,(A33*Assumptions!$B$6/1000000+Assumptions!$B$14-Waterfall!$C$16)/$B$29)</f>
        <v>6.28778983617851</v>
      </c>
      <c r="G33" s="67" t="n">
        <f aca="false">MAX(0,(A33*Assumptions!$B$6/1000000+Assumptions!$B$14-Waterfall!$C$18)/$B$29)</f>
        <v>0</v>
      </c>
    </row>
    <row r="34" customFormat="false" ht="15" hidden="false" customHeight="false" outlineLevel="0" collapsed="false">
      <c r="A34" s="70" t="n">
        <f aca="false">BTC_Sensitivity!B7</f>
        <v>25000</v>
      </c>
      <c r="B34" s="71" t="n">
        <f aca="false">$B$29*1000000/A34</f>
        <v>68295.58417</v>
      </c>
      <c r="C34" s="20" t="n">
        <f aca="false">B34/Assumptions!$B$6</f>
        <v>0.0809405163343308</v>
      </c>
      <c r="D34" s="67" t="n">
        <f aca="false">A34*Assumptions!$B$6/1000000/$B$29</f>
        <v>12.354751925098</v>
      </c>
      <c r="E34" s="67" t="n">
        <f aca="false">(A34*Assumptions!$B$6/1000000+Assumptions!$B$14)/$B$29</f>
        <v>13.8482599057326</v>
      </c>
      <c r="F34" s="67" t="n">
        <f aca="false">MAX(0,(A34*Assumptions!$B$6/1000000+Assumptions!$B$14-Waterfall!$C$16)/$B$29)</f>
        <v>8.75874022119811</v>
      </c>
      <c r="G34" s="67" t="n">
        <f aca="false">MAX(0,(A34*Assumptions!$B$6/1000000+Assumptions!$B$14-Waterfall!$C$18)/$B$29)</f>
        <v>2.14983919947924</v>
      </c>
    </row>
    <row r="35" customFormat="false" ht="15" hidden="false" customHeight="false" outlineLevel="0" collapsed="false">
      <c r="A35" s="70" t="n">
        <f aca="false">BTC_Sensitivity!B8</f>
        <v>30000</v>
      </c>
      <c r="B35" s="71" t="n">
        <f aca="false">$B$29*1000000/A35</f>
        <v>56912.9868083333</v>
      </c>
      <c r="C35" s="20" t="n">
        <f aca="false">B35/Assumptions!$B$6</f>
        <v>0.067450430278609</v>
      </c>
      <c r="D35" s="67" t="n">
        <f aca="false">A35*Assumptions!$B$6/1000000/$B$29</f>
        <v>14.8257023101176</v>
      </c>
      <c r="E35" s="67" t="n">
        <f aca="false">(A35*Assumptions!$B$6/1000000+Assumptions!$B$14)/$B$29</f>
        <v>16.3192102907522</v>
      </c>
      <c r="F35" s="67" t="n">
        <f aca="false">MAX(0,(A35*Assumptions!$B$6/1000000+Assumptions!$B$14-Waterfall!$C$16)/$B$29)</f>
        <v>11.2296906062177</v>
      </c>
      <c r="G35" s="67" t="n">
        <f aca="false">MAX(0,(A35*Assumptions!$B$6/1000000+Assumptions!$B$14-Waterfall!$C$18)/$B$29)</f>
        <v>4.62078958449884</v>
      </c>
    </row>
    <row r="36" customFormat="false" ht="15" hidden="false" customHeight="false" outlineLevel="0" collapsed="false">
      <c r="A36" s="70" t="n">
        <f aca="false">BTC_Sensitivity!B9</f>
        <v>35000</v>
      </c>
      <c r="B36" s="71" t="n">
        <f aca="false">$B$29*1000000/A36</f>
        <v>48782.5601214286</v>
      </c>
      <c r="C36" s="20" t="n">
        <f aca="false">B36/Assumptions!$B$6</f>
        <v>0.057814654524522</v>
      </c>
      <c r="D36" s="67" t="n">
        <f aca="false">A36*Assumptions!$B$6/1000000/$B$29</f>
        <v>17.2966526951372</v>
      </c>
      <c r="E36" s="67" t="n">
        <f aca="false">(A36*Assumptions!$B$6/1000000+Assumptions!$B$14)/$B$29</f>
        <v>18.7901606757718</v>
      </c>
      <c r="F36" s="67" t="n">
        <f aca="false">MAX(0,(A36*Assumptions!$B$6/1000000+Assumptions!$B$14-Waterfall!$C$16)/$B$29)</f>
        <v>13.7006409912373</v>
      </c>
      <c r="G36" s="67" t="n">
        <f aca="false">MAX(0,(A36*Assumptions!$B$6/1000000+Assumptions!$B$14-Waterfall!$C$18)/$B$29)</f>
        <v>7.09173996951844</v>
      </c>
    </row>
    <row r="37" customFormat="false" ht="15" hidden="false" customHeight="false" outlineLevel="0" collapsed="false">
      <c r="A37" s="70" t="n">
        <f aca="false">BTC_Sensitivity!B10</f>
        <v>40000</v>
      </c>
      <c r="B37" s="71" t="n">
        <f aca="false">$B$29*1000000/A37</f>
        <v>42684.74010625</v>
      </c>
      <c r="C37" s="20" t="n">
        <f aca="false">B37/Assumptions!$B$6</f>
        <v>0.0505878227089568</v>
      </c>
      <c r="D37" s="67" t="n">
        <f aca="false">A37*Assumptions!$B$6/1000000/$B$29</f>
        <v>19.7676030801568</v>
      </c>
      <c r="E37" s="67" t="n">
        <f aca="false">(A37*Assumptions!$B$6/1000000+Assumptions!$B$14)/$B$29</f>
        <v>21.2611110607914</v>
      </c>
      <c r="F37" s="67" t="n">
        <f aca="false">MAX(0,(A37*Assumptions!$B$6/1000000+Assumptions!$B$14-Waterfall!$C$16)/$B$29)</f>
        <v>16.1715913762569</v>
      </c>
      <c r="G37" s="67" t="n">
        <f aca="false">MAX(0,(A37*Assumptions!$B$6/1000000+Assumptions!$B$14-Waterfall!$C$18)/$B$29)</f>
        <v>9.56269035453804</v>
      </c>
    </row>
    <row r="38" customFormat="false" ht="15" hidden="false" customHeight="false" outlineLevel="0" collapsed="false">
      <c r="A38" s="70" t="n">
        <f aca="false">BTC_Sensitivity!B11</f>
        <v>45000</v>
      </c>
      <c r="B38" s="71" t="n">
        <f aca="false">$B$29*1000000/A38</f>
        <v>37941.9912055556</v>
      </c>
      <c r="C38" s="20" t="n">
        <f aca="false">B38/Assumptions!$B$6</f>
        <v>0.0449669535190727</v>
      </c>
      <c r="D38" s="67" t="n">
        <f aca="false">A38*Assumptions!$B$6/1000000/$B$29</f>
        <v>22.2385534651764</v>
      </c>
      <c r="E38" s="67" t="n">
        <f aca="false">(A38*Assumptions!$B$6/1000000+Assumptions!$B$14)/$B$29</f>
        <v>23.732061445811</v>
      </c>
      <c r="F38" s="67" t="n">
        <f aca="false">MAX(0,(A38*Assumptions!$B$6/1000000+Assumptions!$B$14-Waterfall!$C$16)/$B$29)</f>
        <v>18.6425417612765</v>
      </c>
      <c r="G38" s="67" t="n">
        <f aca="false">MAX(0,(A38*Assumptions!$B$6/1000000+Assumptions!$B$14-Waterfall!$C$18)/$B$29)</f>
        <v>12.0336407395576</v>
      </c>
    </row>
    <row r="39" customFormat="false" ht="15" hidden="false" customHeight="false" outlineLevel="0" collapsed="false">
      <c r="A39" s="70" t="n">
        <f aca="false">BTC_Sensitivity!B12</f>
        <v>50000</v>
      </c>
      <c r="B39" s="71" t="n">
        <f aca="false">$B$29*1000000/A39</f>
        <v>34147.792085</v>
      </c>
      <c r="C39" s="20" t="n">
        <f aca="false">B39/Assumptions!$B$6</f>
        <v>0.0404702581671654</v>
      </c>
      <c r="D39" s="67" t="n">
        <f aca="false">A39*Assumptions!$B$6/1000000/$B$29</f>
        <v>24.709503850196</v>
      </c>
      <c r="E39" s="67" t="n">
        <f aca="false">(A39*Assumptions!$B$6/1000000+Assumptions!$B$14)/$B$29</f>
        <v>26.2030118308306</v>
      </c>
      <c r="F39" s="67" t="n">
        <f aca="false">MAX(0,(A39*Assumptions!$B$6/1000000+Assumptions!$B$14-Waterfall!$C$16)/$B$29)</f>
        <v>21.1134921462961</v>
      </c>
      <c r="G39" s="67" t="n">
        <f aca="false">MAX(0,(A39*Assumptions!$B$6/1000000+Assumptions!$B$14-Waterfall!$C$18)/$B$29)</f>
        <v>14.5045911245772</v>
      </c>
    </row>
    <row r="40" customFormat="false" ht="15" hidden="false" customHeight="false" outlineLevel="0" collapsed="false">
      <c r="A40" s="70" t="n">
        <f aca="false">BTC_Sensitivity!B13</f>
        <v>55000</v>
      </c>
      <c r="B40" s="71" t="n">
        <f aca="false">$B$29*1000000/A40</f>
        <v>31043.44735</v>
      </c>
      <c r="C40" s="20" t="n">
        <f aca="false">B40/Assumptions!$B$6</f>
        <v>0.0367911437883322</v>
      </c>
      <c r="D40" s="67" t="n">
        <f aca="false">A40*Assumptions!$B$6/1000000/$B$29</f>
        <v>27.1804542352156</v>
      </c>
      <c r="E40" s="67" t="n">
        <f aca="false">(A40*Assumptions!$B$6/1000000+Assumptions!$B$14)/$B$29</f>
        <v>28.6739622158502</v>
      </c>
      <c r="F40" s="67" t="n">
        <f aca="false">MAX(0,(A40*Assumptions!$B$6/1000000+Assumptions!$B$14-Waterfall!$C$16)/$B$29)</f>
        <v>23.5844425313157</v>
      </c>
      <c r="G40" s="67" t="n">
        <f aca="false">MAX(0,(A40*Assumptions!$B$6/1000000+Assumptions!$B$14-Waterfall!$C$18)/$B$29)</f>
        <v>16.9755415095968</v>
      </c>
    </row>
    <row r="41" customFormat="false" ht="15" hidden="false" customHeight="false" outlineLevel="0" collapsed="false">
      <c r="A41" s="70" t="n">
        <f aca="false">BTC_Sensitivity!B14</f>
        <v>60000</v>
      </c>
      <c r="B41" s="71" t="n">
        <f aca="false">$B$29*1000000/A41</f>
        <v>28456.4934041667</v>
      </c>
      <c r="C41" s="20" t="n">
        <f aca="false">B41/Assumptions!$B$6</f>
        <v>0.0337252151393045</v>
      </c>
      <c r="D41" s="67" t="n">
        <f aca="false">A41*Assumptions!$B$6/1000000/$B$29</f>
        <v>29.6514046202352</v>
      </c>
      <c r="E41" s="67" t="n">
        <f aca="false">(A41*Assumptions!$B$6/1000000+Assumptions!$B$14)/$B$29</f>
        <v>31.1449126008698</v>
      </c>
      <c r="F41" s="67" t="n">
        <f aca="false">MAX(0,(A41*Assumptions!$B$6/1000000+Assumptions!$B$14-Waterfall!$C$16)/$B$29)</f>
        <v>26.0553929163353</v>
      </c>
      <c r="G41" s="67" t="n">
        <f aca="false">MAX(0,(A41*Assumptions!$B$6/1000000+Assumptions!$B$14-Waterfall!$C$18)/$B$29)</f>
        <v>19.4464918946164</v>
      </c>
    </row>
    <row r="42" customFormat="false" ht="15" hidden="false" customHeight="false" outlineLevel="0" collapsed="false">
      <c r="A42" s="70" t="n">
        <f aca="false">BTC_Sensitivity!B15</f>
        <v>65000</v>
      </c>
      <c r="B42" s="71" t="n">
        <f aca="false">$B$29*1000000/A42</f>
        <v>26267.5323730769</v>
      </c>
      <c r="C42" s="20" t="n">
        <f aca="false">B42/Assumptions!$B$6</f>
        <v>0.0311309678208965</v>
      </c>
      <c r="D42" s="67" t="n">
        <f aca="false">A42*Assumptions!$B$6/1000000/$B$29</f>
        <v>32.1223550052548</v>
      </c>
      <c r="E42" s="67" t="n">
        <f aca="false">(A42*Assumptions!$B$6/1000000+Assumptions!$B$14)/$B$29</f>
        <v>33.6158629858894</v>
      </c>
      <c r="F42" s="67" t="n">
        <f aca="false">MAX(0,(A42*Assumptions!$B$6/1000000+Assumptions!$B$14-Waterfall!$C$16)/$B$29)</f>
        <v>28.5263433013549</v>
      </c>
      <c r="G42" s="67" t="n">
        <f aca="false">MAX(0,(A42*Assumptions!$B$6/1000000+Assumptions!$B$14-Waterfall!$C$18)/$B$29)</f>
        <v>21.917442279636</v>
      </c>
    </row>
    <row r="43" customFormat="false" ht="15" hidden="false" customHeight="false" outlineLevel="0" collapsed="false">
      <c r="A43" s="70" t="n">
        <f aca="false">BTC_Sensitivity!B16</f>
        <v>70000</v>
      </c>
      <c r="B43" s="71" t="n">
        <f aca="false">$B$29*1000000/A43</f>
        <v>24391.2800607143</v>
      </c>
      <c r="C43" s="20" t="n">
        <f aca="false">B43/Assumptions!$B$6</f>
        <v>0.028907327262261</v>
      </c>
      <c r="D43" s="67" t="n">
        <f aca="false">A43*Assumptions!$B$6/1000000/$B$29</f>
        <v>34.5933053902744</v>
      </c>
      <c r="E43" s="67" t="n">
        <f aca="false">(A43*Assumptions!$B$6/1000000+Assumptions!$B$14)/$B$29</f>
        <v>36.086813370909</v>
      </c>
      <c r="F43" s="67" t="n">
        <f aca="false">MAX(0,(A43*Assumptions!$B$6/1000000+Assumptions!$B$14-Waterfall!$C$16)/$B$29)</f>
        <v>30.9972936863745</v>
      </c>
      <c r="G43" s="67" t="n">
        <f aca="false">MAX(0,(A43*Assumptions!$B$6/1000000+Assumptions!$B$14-Waterfall!$C$18)/$B$29)</f>
        <v>24.3883926646556</v>
      </c>
    </row>
    <row r="44" customFormat="false" ht="15" hidden="false" customHeight="false" outlineLevel="0" collapsed="false">
      <c r="A44" s="70" t="n">
        <f aca="false">BTC_Sensitivity!B17</f>
        <v>80000</v>
      </c>
      <c r="B44" s="71" t="n">
        <f aca="false">$B$29*1000000/A44</f>
        <v>21342.370053125</v>
      </c>
      <c r="C44" s="20" t="n">
        <f aca="false">B44/Assumptions!$B$6</f>
        <v>0.0252939113544784</v>
      </c>
      <c r="D44" s="67" t="n">
        <f aca="false">A44*Assumptions!$B$6/1000000/$B$29</f>
        <v>39.5352061603136</v>
      </c>
      <c r="E44" s="67" t="n">
        <f aca="false">(A44*Assumptions!$B$6/1000000+Assumptions!$B$14)/$B$29</f>
        <v>41.0287141409482</v>
      </c>
      <c r="F44" s="67" t="n">
        <f aca="false">MAX(0,(A44*Assumptions!$B$6/1000000+Assumptions!$B$14-Waterfall!$C$16)/$B$29)</f>
        <v>35.9391944564137</v>
      </c>
      <c r="G44" s="67" t="n">
        <f aca="false">MAX(0,(A44*Assumptions!$B$6/1000000+Assumptions!$B$14-Waterfall!$C$18)/$B$29)</f>
        <v>29.3302934346948</v>
      </c>
    </row>
    <row r="45" customFormat="false" ht="15" hidden="false" customHeight="false" outlineLevel="0" collapsed="false">
      <c r="A45" s="70" t="n">
        <f aca="false">BTC_Sensitivity!B18</f>
        <v>90000</v>
      </c>
      <c r="B45" s="71" t="n">
        <f aca="false">$B$29*1000000/A45</f>
        <v>18970.9956027778</v>
      </c>
      <c r="C45" s="20" t="n">
        <f aca="false">B45/Assumptions!$B$6</f>
        <v>0.0224834767595363</v>
      </c>
      <c r="D45" s="67" t="n">
        <f aca="false">A45*Assumptions!$B$6/1000000/$B$29</f>
        <v>44.4771069303528</v>
      </c>
      <c r="E45" s="67" t="n">
        <f aca="false">(A45*Assumptions!$B$6/1000000+Assumptions!$B$14)/$B$29</f>
        <v>45.9706149109874</v>
      </c>
      <c r="F45" s="67" t="n">
        <f aca="false">MAX(0,(A45*Assumptions!$B$6/1000000+Assumptions!$B$14-Waterfall!$C$16)/$B$29)</f>
        <v>40.8810952264529</v>
      </c>
      <c r="G45" s="67" t="n">
        <f aca="false">MAX(0,(A45*Assumptions!$B$6/1000000+Assumptions!$B$14-Waterfall!$C$18)/$B$29)</f>
        <v>34.272194204734</v>
      </c>
    </row>
    <row r="46" customFormat="false" ht="15" hidden="false" customHeight="false" outlineLevel="0" collapsed="false">
      <c r="A46" s="70" t="n">
        <f aca="false">BTC_Sensitivity!B19</f>
        <v>100000</v>
      </c>
      <c r="B46" s="71" t="n">
        <f aca="false">$B$29*1000000/A46</f>
        <v>17073.8960425</v>
      </c>
      <c r="C46" s="20" t="n">
        <f aca="false">B46/Assumptions!$B$6</f>
        <v>0.0202351290835827</v>
      </c>
      <c r="D46" s="67" t="n">
        <f aca="false">A46*Assumptions!$B$6/1000000/$B$29</f>
        <v>49.419007700392</v>
      </c>
      <c r="E46" s="67" t="n">
        <f aca="false">(A46*Assumptions!$B$6/1000000+Assumptions!$B$14)/$B$29</f>
        <v>50.9125156810266</v>
      </c>
      <c r="F46" s="67" t="n">
        <f aca="false">MAX(0,(A46*Assumptions!$B$6/1000000+Assumptions!$B$14-Waterfall!$C$16)/$B$29)</f>
        <v>45.8229959964921</v>
      </c>
      <c r="G46" s="67" t="n">
        <f aca="false">MAX(0,(A46*Assumptions!$B$6/1000000+Assumptions!$B$14-Waterfall!$C$18)/$B$29)</f>
        <v>39.2140949747732</v>
      </c>
    </row>
    <row r="47" customFormat="false" ht="15" hidden="false" customHeight="false" outlineLevel="0" collapsed="false">
      <c r="A47" s="70" t="n">
        <f aca="false">BTC_Sensitivity!B20</f>
        <v>125000</v>
      </c>
      <c r="B47" s="71" t="n">
        <f aca="false">$B$29*1000000/A47</f>
        <v>13659.116834</v>
      </c>
      <c r="C47" s="20" t="n">
        <f aca="false">B47/Assumptions!$B$6</f>
        <v>0.0161881032668662</v>
      </c>
      <c r="D47" s="67" t="n">
        <f aca="false">A47*Assumptions!$B$6/1000000/$B$29</f>
        <v>61.77375962549</v>
      </c>
      <c r="E47" s="67" t="n">
        <f aca="false">(A47*Assumptions!$B$6/1000000+Assumptions!$B$14)/$B$29</f>
        <v>63.2672676061246</v>
      </c>
      <c r="F47" s="67" t="n">
        <f aca="false">MAX(0,(A47*Assumptions!$B$6/1000000+Assumptions!$B$14-Waterfall!$C$16)/$B$29)</f>
        <v>58.1777479215901</v>
      </c>
      <c r="G47" s="67" t="n">
        <f aca="false">MAX(0,(A47*Assumptions!$B$6/1000000+Assumptions!$B$14-Waterfall!$C$18)/$B$29)</f>
        <v>51.5688468998712</v>
      </c>
    </row>
    <row r="48" customFormat="false" ht="15" hidden="false" customHeight="false" outlineLevel="0" collapsed="false">
      <c r="A48" s="70" t="n">
        <f aca="false">BTC_Sensitivity!B21</f>
        <v>150000</v>
      </c>
      <c r="B48" s="71" t="n">
        <f aca="false">$B$29*1000000/A48</f>
        <v>11382.5973616667</v>
      </c>
      <c r="C48" s="20" t="n">
        <f aca="false">B48/Assumptions!$B$6</f>
        <v>0.0134900860557218</v>
      </c>
      <c r="D48" s="67" t="n">
        <f aca="false">A48*Assumptions!$B$6/1000000/$B$29</f>
        <v>74.128511550588</v>
      </c>
      <c r="E48" s="67" t="n">
        <f aca="false">(A48*Assumptions!$B$6/1000000+Assumptions!$B$14)/$B$29</f>
        <v>75.6220195312227</v>
      </c>
      <c r="F48" s="67" t="n">
        <f aca="false">MAX(0,(A48*Assumptions!$B$6/1000000+Assumptions!$B$14-Waterfall!$C$16)/$B$29)</f>
        <v>70.5324998466881</v>
      </c>
      <c r="G48" s="67" t="n">
        <f aca="false">MAX(0,(A48*Assumptions!$B$6/1000000+Assumptions!$B$14-Waterfall!$C$18)/$B$29)</f>
        <v>63.9235988249692</v>
      </c>
    </row>
    <row r="49" customFormat="false" ht="15" hidden="false" customHeight="false" outlineLevel="0" collapsed="false">
      <c r="A49" s="70" t="n">
        <f aca="false">BTC_Sensitivity!B22</f>
        <v>200000</v>
      </c>
      <c r="B49" s="71" t="n">
        <f aca="false">$B$29*1000000/A49</f>
        <v>8536.94802125</v>
      </c>
      <c r="C49" s="20" t="n">
        <f aca="false">B49/Assumptions!$B$6</f>
        <v>0.0101175645417914</v>
      </c>
      <c r="D49" s="67" t="n">
        <f aca="false">A49*Assumptions!$B$6/1000000/$B$29</f>
        <v>98.838015400784</v>
      </c>
      <c r="E49" s="67" t="n">
        <f aca="false">(A49*Assumptions!$B$6/1000000+Assumptions!$B$14)/$B$29</f>
        <v>100.331523381419</v>
      </c>
      <c r="F49" s="67" t="n">
        <f aca="false">MAX(0,(A49*Assumptions!$B$6/1000000+Assumptions!$B$14-Waterfall!$C$16)/$B$29)</f>
        <v>95.2420036968841</v>
      </c>
      <c r="G49" s="67" t="n">
        <f aca="false">MAX(0,(A49*Assumptions!$B$6/1000000+Assumptions!$B$14-Waterfall!$C$18)/$B$29)</f>
        <v>88.6331026751653</v>
      </c>
    </row>
    <row r="50" customFormat="false" ht="15" hidden="false" customHeight="false" outlineLevel="0" collapsed="false">
      <c r="A50" s="10" t="s">
        <v>372</v>
      </c>
    </row>
    <row r="51" customFormat="false" ht="15" hidden="false" customHeight="false" outlineLevel="0" collapsed="false">
      <c r="A51" s="10" t="s">
        <v>373</v>
      </c>
    </row>
    <row r="53" customFormat="false" ht="15" hidden="false" customHeight="false" outlineLevel="0" collapsed="false">
      <c r="A53" s="7" t="s">
        <v>374</v>
      </c>
      <c r="B53" s="59"/>
      <c r="C53" s="59"/>
      <c r="D53" s="59"/>
      <c r="E53" s="59"/>
      <c r="F53" s="59"/>
      <c r="G53" s="59"/>
    </row>
    <row r="54" customFormat="false" ht="15" hidden="false" customHeight="false" outlineLevel="0" collapsed="false">
      <c r="A54" s="21" t="s">
        <v>375</v>
      </c>
      <c r="B54" s="21" t="s">
        <v>376</v>
      </c>
      <c r="C54" s="21" t="s">
        <v>377</v>
      </c>
      <c r="D54" s="21" t="s">
        <v>378</v>
      </c>
      <c r="E54" s="21"/>
      <c r="F54" s="21"/>
      <c r="G54" s="21"/>
    </row>
    <row r="55" customFormat="false" ht="15" hidden="false" customHeight="false" outlineLevel="0" collapsed="false">
      <c r="A55" s="24" t="s">
        <v>379</v>
      </c>
      <c r="B55" s="72" t="n">
        <v>31.716</v>
      </c>
      <c r="C55" s="73" t="n">
        <f aca="false">SUM($B$55:B55)</f>
        <v>31.716</v>
      </c>
      <c r="D55" s="71" t="n">
        <f aca="false">B55*1000000/Assumptions!$B$5</f>
        <v>499.464566929134</v>
      </c>
      <c r="E55" s="10" t="s">
        <v>380</v>
      </c>
    </row>
    <row r="56" customFormat="false" ht="15" hidden="false" customHeight="false" outlineLevel="0" collapsed="false">
      <c r="A56" s="24" t="s">
        <v>112</v>
      </c>
      <c r="B56" s="72" t="n">
        <v>3018.477</v>
      </c>
      <c r="C56" s="73" t="n">
        <f aca="false">SUM($B$55:B56)</f>
        <v>3050.193</v>
      </c>
      <c r="D56" s="71" t="n">
        <f aca="false">B56*1000000/Assumptions!$B$5</f>
        <v>47535.0708661417</v>
      </c>
      <c r="E56" s="10" t="s">
        <v>381</v>
      </c>
    </row>
    <row r="57" customFormat="false" ht="15" hidden="false" customHeight="false" outlineLevel="0" collapsed="false">
      <c r="A57" s="24" t="s">
        <v>119</v>
      </c>
      <c r="B57" s="72" t="n">
        <v>4403.659</v>
      </c>
      <c r="C57" s="73" t="n">
        <f aca="false">SUM($B$55:B57)</f>
        <v>7453.852</v>
      </c>
      <c r="D57" s="71" t="n">
        <f aca="false">B57*1000000/Assumptions!$B$5</f>
        <v>69348.9606299213</v>
      </c>
      <c r="E57" s="10" t="s">
        <v>382</v>
      </c>
    </row>
    <row r="58" customFormat="false" ht="15" hidden="false" customHeight="false" outlineLevel="0" collapsed="false">
      <c r="A58" s="24" t="s">
        <v>383</v>
      </c>
      <c r="B58" s="72" t="n">
        <v>800</v>
      </c>
      <c r="C58" s="73" t="n">
        <f aca="false">SUM($B$55:B58)</f>
        <v>8253.852</v>
      </c>
      <c r="D58" s="71" t="n">
        <f aca="false">B58*1000000/Assumptions!$B$5</f>
        <v>12598.4251968504</v>
      </c>
      <c r="E58" s="10" t="s">
        <v>384</v>
      </c>
    </row>
    <row r="60" customFormat="false" ht="15" hidden="false" customHeight="false" outlineLevel="0" collapsed="false">
      <c r="A60" s="10" t="s">
        <v>385</v>
      </c>
    </row>
    <row r="61" customFormat="false" ht="15" hidden="false" customHeight="false" outlineLevel="0" collapsed="false">
      <c r="A61" s="10" t="s">
        <v>386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42E46"/>
    <pageSetUpPr fitToPage="false"/>
  </sheetPr>
  <dimension ref="A1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3" min="1" style="1" width="20"/>
    <col collapsed="false" customWidth="true" hidden="false" outlineLevel="0" max="5" min="4" style="1" width="24"/>
    <col collapsed="false" customWidth="true" hidden="false" outlineLevel="0" max="6" min="6" style="1" width="55"/>
  </cols>
  <sheetData>
    <row r="1" customFormat="false" ht="17.25" hidden="false" customHeight="true" outlineLevel="0" collapsed="false">
      <c r="A1" s="2" t="s">
        <v>387</v>
      </c>
    </row>
    <row r="2" customFormat="false" ht="15" hidden="false" customHeight="true" outlineLevel="0" collapsed="false">
      <c r="A2" s="3" t="s">
        <v>388</v>
      </c>
    </row>
    <row r="3" customFormat="false" ht="15" hidden="false" customHeight="true" outlineLevel="0" collapsed="false">
      <c r="A3" s="10" t="s">
        <v>389</v>
      </c>
    </row>
    <row r="5" customFormat="false" ht="15" hidden="false" customHeight="true" outlineLevel="0" collapsed="false">
      <c r="A5" s="7" t="s">
        <v>390</v>
      </c>
      <c r="B5" s="8"/>
      <c r="C5" s="8"/>
      <c r="D5" s="8"/>
      <c r="E5" s="8"/>
      <c r="F5" s="8"/>
    </row>
    <row r="6" customFormat="false" ht="23.25" hidden="false" customHeight="true" outlineLevel="0" collapsed="false">
      <c r="A6" s="21" t="s">
        <v>391</v>
      </c>
      <c r="B6" s="21" t="s">
        <v>392</v>
      </c>
      <c r="C6" s="21" t="s">
        <v>393</v>
      </c>
      <c r="D6" s="21" t="s">
        <v>394</v>
      </c>
      <c r="E6" s="21" t="s">
        <v>395</v>
      </c>
      <c r="F6" s="21"/>
    </row>
    <row r="7" customFormat="false" ht="21.75" hidden="false" customHeight="true" outlineLevel="0" collapsed="false">
      <c r="A7" s="12" t="n">
        <v>0</v>
      </c>
      <c r="B7" s="13" t="n">
        <f aca="false">(Waterfall!$C$18+A7-Assumptions!$B$14)*1000000/((Assumptions!$B$6+A7*1000000/Assumptions!$B$5)*(Assumptions!$B$17-Assumptions!$B$18))</f>
        <v>21736.6027673254</v>
      </c>
      <c r="C7" s="13" t="n">
        <f aca="false">(Waterfall!$C$18+A7-Assumptions!$B$14)*1000000/(Assumptions!$B$6*(Assumptions!$B$17-Assumptions!$B$18))</f>
        <v>21736.6027673254</v>
      </c>
      <c r="D7" s="13" t="n">
        <f aca="false">B7</f>
        <v>21736.6027673254</v>
      </c>
      <c r="E7" s="13" t="n">
        <f aca="false">C7</f>
        <v>21736.6027673254</v>
      </c>
      <c r="F7" s="35" t="s">
        <v>396</v>
      </c>
    </row>
    <row r="8" customFormat="false" ht="15" hidden="false" customHeight="true" outlineLevel="0" collapsed="false">
      <c r="A8" s="12" t="n">
        <v>2000</v>
      </c>
      <c r="B8" s="13" t="n">
        <f aca="false">(Waterfall!$C$18+A8-Assumptions!$B$14)*1000000/((Assumptions!$B$6+A8*1000000/Assumptions!$B$5)*(Assumptions!$B$17-Assumptions!$B$18))</f>
        <v>23359.6950960535</v>
      </c>
      <c r="C8" s="13" t="n">
        <f aca="false">(Waterfall!$C$18+A8-Assumptions!$B$14)*1000000/(Assumptions!$B$6*(Assumptions!$B$17-Assumptions!$B$18))</f>
        <v>24231.6555454887</v>
      </c>
      <c r="D8" s="13" t="n">
        <f aca="false">B8</f>
        <v>23359.6950960535</v>
      </c>
      <c r="E8" s="13" t="n">
        <f aca="false">C8</f>
        <v>24231.6555454887</v>
      </c>
    </row>
    <row r="9" customFormat="false" ht="15" hidden="false" customHeight="true" outlineLevel="0" collapsed="false">
      <c r="A9" s="12" t="n">
        <v>5000</v>
      </c>
      <c r="B9" s="13" t="n">
        <f aca="false">(Waterfall!$C$18+A9-Assumptions!$B$14)*1000000/((Assumptions!$B$6+A9*1000000/Assumptions!$B$5)*(Assumptions!$B$17-Assumptions!$B$18))</f>
        <v>25586.5279863876</v>
      </c>
      <c r="C9" s="13" t="n">
        <f aca="false">(Waterfall!$C$18+A9-Assumptions!$B$14)*1000000/(Assumptions!$B$6*(Assumptions!$B$17-Assumptions!$B$18))</f>
        <v>27974.2347127337</v>
      </c>
      <c r="D9" s="13" t="n">
        <f aca="false">B9</f>
        <v>25586.5279863876</v>
      </c>
      <c r="E9" s="13" t="n">
        <f aca="false">C9</f>
        <v>27974.2347127337</v>
      </c>
    </row>
    <row r="10" customFormat="false" ht="15" hidden="false" customHeight="true" outlineLevel="0" collapsed="false">
      <c r="A10" s="12" t="n">
        <v>10000</v>
      </c>
      <c r="B10" s="13" t="n">
        <f aca="false">(Waterfall!$C$18+A10-Assumptions!$B$14)*1000000/((Assumptions!$B$6+A10*1000000/Assumptions!$B$5)*(Assumptions!$B$17-Assumptions!$B$18))</f>
        <v>28830.9258968665</v>
      </c>
      <c r="C10" s="13" t="n">
        <f aca="false">(Waterfall!$C$18+A10-Assumptions!$B$14)*1000000/(Assumptions!$B$6*(Assumptions!$B$17-Assumptions!$B$18))</f>
        <v>34211.8666581419</v>
      </c>
      <c r="D10" s="13" t="n">
        <f aca="false">B10</f>
        <v>28830.9258968665</v>
      </c>
      <c r="E10" s="13" t="n">
        <f aca="false">C10</f>
        <v>34211.8666581419</v>
      </c>
    </row>
    <row r="12" customFormat="false" ht="15" hidden="false" customHeight="true" outlineLevel="0" collapsed="false">
      <c r="A12" s="7" t="s">
        <v>397</v>
      </c>
      <c r="B12" s="8"/>
      <c r="C12" s="8"/>
      <c r="D12" s="8"/>
      <c r="E12" s="8"/>
      <c r="F12" s="8"/>
    </row>
    <row r="13" customFormat="false" ht="15" hidden="false" customHeight="true" outlineLevel="0" collapsed="false">
      <c r="A13" s="21" t="s">
        <v>391</v>
      </c>
      <c r="B13" s="21" t="s">
        <v>398</v>
      </c>
      <c r="C13" s="21" t="s">
        <v>399</v>
      </c>
      <c r="D13" s="21" t="s">
        <v>400</v>
      </c>
      <c r="E13" s="21" t="s">
        <v>401</v>
      </c>
      <c r="F13" s="21"/>
    </row>
    <row r="14" customFormat="false" ht="15" hidden="false" customHeight="true" outlineLevel="0" collapsed="false">
      <c r="A14" s="12" t="n">
        <v>0</v>
      </c>
      <c r="B14" s="20" t="n">
        <f aca="false">MAX(0,MIN(1,((0.5*Assumptions!$B$5*(Assumptions!$B$6+A14*1000000/Assumptions!$B$5)/1000000*(Assumptions!$B$17-Assumptions!$B$18)+Assumptions!$B$14)-(Waterfall!$C$17+A14))/Waterfall!$B$18))</f>
        <v>1</v>
      </c>
      <c r="C14" s="20" t="n">
        <f aca="false">MAX(0,MIN(1,((0.5*Assumptions!$B$5*Assumptions!$B$6/1000000*(Assumptions!$B$17-Assumptions!$B$18)+Assumptions!$B$14)-(Waterfall!$C$17+A14))/Waterfall!$B$18))</f>
        <v>1</v>
      </c>
      <c r="D14" s="20" t="n">
        <f aca="false">MAX(0,MIN(1,((0.5*Assumptions!$B$5*(Assumptions!$B$6+A14*1000000/Assumptions!$B$5)/1000000*(Assumptions!$B$17-Assumptions!$B$18)+Assumptions!$B$14)-Waterfall!$C$17)/(Waterfall!$B$18+A14)))</f>
        <v>1</v>
      </c>
      <c r="E14" s="20" t="n">
        <f aca="false">MAX(0,MIN(1,((0.5*Assumptions!$B$5*Assumptions!$B$6/1000000*(Assumptions!$B$17-Assumptions!$B$18)+Assumptions!$B$14)-Waterfall!$C$17)/(Waterfall!$B$18+A14)))</f>
        <v>1</v>
      </c>
      <c r="F14" s="35" t="s">
        <v>402</v>
      </c>
    </row>
    <row r="15" customFormat="false" ht="15" hidden="false" customHeight="true" outlineLevel="0" collapsed="false">
      <c r="A15" s="12" t="n">
        <v>2000</v>
      </c>
      <c r="B15" s="20" t="n">
        <f aca="false">MAX(0,MIN(1,((0.5*Assumptions!$B$5*(Assumptions!$B$6+A15*1000000/Assumptions!$B$5)/1000000*(Assumptions!$B$17-Assumptions!$B$18)+Assumptions!$B$14)-(Waterfall!$C$17+A15))/Waterfall!$B$18))</f>
        <v>1</v>
      </c>
      <c r="C15" s="20" t="n">
        <f aca="false">MAX(0,MIN(1,((0.5*Assumptions!$B$5*Assumptions!$B$6/1000000*(Assumptions!$B$17-Assumptions!$B$18)+Assumptions!$B$14)-(Waterfall!$C$17+A15))/Waterfall!$B$18))</f>
        <v>1</v>
      </c>
      <c r="D15" s="20" t="n">
        <f aca="false">MAX(0,MIN(1,((0.5*Assumptions!$B$5*(Assumptions!$B$6+A15*1000000/Assumptions!$B$5)/1000000*(Assumptions!$B$17-Assumptions!$B$18)+Assumptions!$B$14)-Waterfall!$C$17)/(Waterfall!$B$18+A15)))</f>
        <v>1</v>
      </c>
      <c r="E15" s="20" t="n">
        <f aca="false">MAX(0,MIN(1,((0.5*Assumptions!$B$5*Assumptions!$B$6/1000000*(Assumptions!$B$17-Assumptions!$B$18)+Assumptions!$B$14)-Waterfall!$C$17)/(Waterfall!$B$18+A15)))</f>
        <v>1</v>
      </c>
    </row>
    <row r="16" customFormat="false" ht="15" hidden="false" customHeight="true" outlineLevel="0" collapsed="false">
      <c r="A16" s="12" t="n">
        <v>5000</v>
      </c>
      <c r="B16" s="20" t="n">
        <f aca="false">MAX(0,MIN(1,((0.5*Assumptions!$B$5*(Assumptions!$B$6+A16*1000000/Assumptions!$B$5)/1000000*(Assumptions!$B$17-Assumptions!$B$18)+Assumptions!$B$14)-(Waterfall!$C$17+A16))/Waterfall!$B$18))</f>
        <v>1</v>
      </c>
      <c r="C16" s="20" t="n">
        <f aca="false">MAX(0,MIN(1,((0.5*Assumptions!$B$5*Assumptions!$B$6/1000000*(Assumptions!$B$17-Assumptions!$B$18)+Assumptions!$B$14)-(Waterfall!$C$17+A16))/Waterfall!$B$18))</f>
        <v>1</v>
      </c>
      <c r="D16" s="20" t="n">
        <f aca="false">MAX(0,MIN(1,((0.5*Assumptions!$B$5*(Assumptions!$B$6+A16*1000000/Assumptions!$B$5)/1000000*(Assumptions!$B$17-Assumptions!$B$18)+Assumptions!$B$14)-Waterfall!$C$17)/(Waterfall!$B$18+A16)))</f>
        <v>1</v>
      </c>
      <c r="E16" s="20" t="n">
        <f aca="false">MAX(0,MIN(1,((0.5*Assumptions!$B$5*Assumptions!$B$6/1000000*(Assumptions!$B$17-Assumptions!$B$18)+Assumptions!$B$14)-Waterfall!$C$17)/(Waterfall!$B$18+A16)))</f>
        <v>1</v>
      </c>
    </row>
    <row r="17" customFormat="false" ht="15" hidden="false" customHeight="true" outlineLevel="0" collapsed="false">
      <c r="A17" s="12" t="n">
        <v>10000</v>
      </c>
      <c r="B17" s="20" t="n">
        <f aca="false">MAX(0,MIN(1,((0.5*Assumptions!$B$5*(Assumptions!$B$6+A17*1000000/Assumptions!$B$5)/1000000*(Assumptions!$B$17-Assumptions!$B$18)+Assumptions!$B$14)-(Waterfall!$C$17+A17))/Waterfall!$B$18))</f>
        <v>1</v>
      </c>
      <c r="C17" s="20" t="n">
        <f aca="false">MAX(0,MIN(1,((0.5*Assumptions!$B$5*Assumptions!$B$6/1000000*(Assumptions!$B$17-Assumptions!$B$18)+Assumptions!$B$14)-(Waterfall!$C$17+A17))/Waterfall!$B$18))</f>
        <v>0.80266015375</v>
      </c>
      <c r="D17" s="20" t="n">
        <f aca="false">MAX(0,MIN(1,((0.5*Assumptions!$B$5*(Assumptions!$B$6+A17*1000000/Assumptions!$B$5)/1000000*(Assumptions!$B$17-Assumptions!$B$18)+Assumptions!$B$14)-Waterfall!$C$17)/(Waterfall!$B$18+A17)))</f>
        <v>1</v>
      </c>
      <c r="E17" s="20" t="n">
        <f aca="false">MAX(0,MIN(1,((0.5*Assumptions!$B$5*Assumptions!$B$6/1000000*(Assumptions!$B$17-Assumptions!$B$18)+Assumptions!$B$14)-Waterfall!$C$17)/(Waterfall!$B$18+A17)))</f>
        <v>0.901330076875</v>
      </c>
    </row>
    <row r="19" customFormat="false" ht="15" hidden="false" customHeight="true" outlineLevel="0" collapsed="false">
      <c r="A19" s="7" t="s">
        <v>403</v>
      </c>
      <c r="B19" s="8"/>
      <c r="C19" s="8"/>
      <c r="D19" s="8"/>
      <c r="E19" s="8"/>
      <c r="F19" s="8"/>
    </row>
    <row r="20" customFormat="false" ht="15" hidden="false" customHeight="true" outlineLevel="0" collapsed="false">
      <c r="A20" s="21" t="s">
        <v>391</v>
      </c>
      <c r="B20" s="21" t="s">
        <v>398</v>
      </c>
      <c r="C20" s="21" t="s">
        <v>399</v>
      </c>
      <c r="D20" s="21" t="s">
        <v>404</v>
      </c>
      <c r="E20" s="21"/>
      <c r="F20" s="21"/>
    </row>
    <row r="21" customFormat="false" ht="15" hidden="false" customHeight="true" outlineLevel="0" collapsed="false">
      <c r="A21" s="12" t="n">
        <v>0</v>
      </c>
      <c r="B21" s="13" t="n">
        <f aca="false">(Waterfall!$C$17+A21-Assumptions!$B$14)*1000000/((Assumptions!$B$6+A21*1000000/Assumptions!$B$5)*(Assumptions!$B$17-Assumptions!$B$18))</f>
        <v>9261.33887650892</v>
      </c>
      <c r="C21" s="13" t="n">
        <f aca="false">(Waterfall!$C$17+A21-Assumptions!$B$14)*1000000/(Assumptions!$B$6*(Assumptions!$B$17-Assumptions!$B$18))</f>
        <v>9261.33887650892</v>
      </c>
      <c r="D21" s="13" t="n">
        <f aca="false">(Waterfall!$C$17-Assumptions!$B$14)*1000000/((Assumptions!$B$6+A21*1000000/Assumptions!$B$5)*(Assumptions!$B$17-Assumptions!$B$18))</f>
        <v>9261.33887650892</v>
      </c>
    </row>
    <row r="22" customFormat="false" ht="15" hidden="false" customHeight="true" outlineLevel="0" collapsed="false">
      <c r="A22" s="12" t="n">
        <v>2000</v>
      </c>
      <c r="B22" s="13" t="n">
        <f aca="false">(Waterfall!$C$17+A22-Assumptions!$B$14)*1000000/((Assumptions!$B$6+A22*1000000/Assumptions!$B$5)*(Assumptions!$B$17-Assumptions!$B$18))</f>
        <v>11333.3455061456</v>
      </c>
      <c r="C22" s="13" t="n">
        <f aca="false">(Waterfall!$C$17+A22-Assumptions!$B$14)*1000000/(Assumptions!$B$6*(Assumptions!$B$17-Assumptions!$B$18))</f>
        <v>11756.3916546722</v>
      </c>
      <c r="D22" s="13" t="n">
        <f aca="false">(Waterfall!$C$17-Assumptions!$B$14)*1000000/((Assumptions!$B$6+A22*1000000/Assumptions!$B$5)*(Assumptions!$B$17-Assumptions!$B$18))</f>
        <v>8928.07558816395</v>
      </c>
    </row>
    <row r="23" customFormat="false" ht="15" hidden="false" customHeight="true" outlineLevel="0" collapsed="false">
      <c r="A23" s="12" t="n">
        <v>5000</v>
      </c>
      <c r="B23" s="13" t="n">
        <f aca="false">(Waterfall!$C$17+A23-Assumptions!$B$14)*1000000/((Assumptions!$B$6+A23*1000000/Assumptions!$B$5)*(Assumptions!$B$17-Assumptions!$B$18))</f>
        <v>14176.0750478967</v>
      </c>
      <c r="C23" s="13" t="n">
        <f aca="false">(Waterfall!$C$17+A23-Assumptions!$B$14)*1000000/(Assumptions!$B$6*(Assumptions!$B$17-Assumptions!$B$18))</f>
        <v>15498.9708219172</v>
      </c>
      <c r="D23" s="13" t="n">
        <f aca="false">(Waterfall!$C$17-Assumptions!$B$14)*1000000/((Assumptions!$B$6+A23*1000000/Assumptions!$B$5)*(Assumptions!$B$17-Assumptions!$B$18))</f>
        <v>8470.8485786512</v>
      </c>
    </row>
    <row r="24" customFormat="false" ht="15" hidden="false" customHeight="true" outlineLevel="0" collapsed="false">
      <c r="A24" s="12" t="n">
        <v>10000</v>
      </c>
      <c r="B24" s="13" t="n">
        <f aca="false">(Waterfall!$C$17+A24-Assumptions!$B$14)*1000000/((Assumptions!$B$6+A24*1000000/Assumptions!$B$5)*(Assumptions!$B$17-Assumptions!$B$18))</f>
        <v>18317.807382347</v>
      </c>
      <c r="C24" s="13" t="n">
        <f aca="false">(Waterfall!$C$17+A24-Assumptions!$B$14)*1000000/(Assumptions!$B$6*(Assumptions!$B$17-Assumptions!$B$18))</f>
        <v>21736.6027673254</v>
      </c>
      <c r="D24" s="13" t="n">
        <f aca="false">(Waterfall!$C$17-Assumptions!$B$14)*1000000/((Assumptions!$B$6+A24*1000000/Assumptions!$B$5)*(Assumptions!$B$17-Assumptions!$B$18))</f>
        <v>7804.68886782747</v>
      </c>
    </row>
    <row r="26" customFormat="false" ht="15" hidden="false" customHeight="true" outlineLevel="0" collapsed="false">
      <c r="A26" s="10" t="s">
        <v>405</v>
      </c>
    </row>
    <row r="27" customFormat="false" ht="15" hidden="false" customHeight="true" outlineLevel="0" collapsed="false">
      <c r="A27" s="10" t="s">
        <v>406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69D64"/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17.35" hidden="false" customHeight="false" outlineLevel="0" collapsed="false">
      <c r="A1" s="2" t="s">
        <v>407</v>
      </c>
    </row>
    <row r="2" customFormat="false" ht="15" hidden="false" customHeight="false" outlineLevel="0" collapsed="false">
      <c r="A2" s="3" t="s">
        <v>408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8080"/>
    <pageSetUpPr fitToPage="false"/>
  </sheetPr>
  <dimension ref="A1:D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60"/>
    <col collapsed="false" customWidth="true" hidden="false" outlineLevel="0" max="3" min="3" style="1" width="70"/>
    <col collapsed="false" customWidth="true" hidden="false" outlineLevel="0" max="4" min="4" style="1" width="14"/>
  </cols>
  <sheetData>
    <row r="1" customFormat="false" ht="17.25" hidden="false" customHeight="true" outlineLevel="0" collapsed="false">
      <c r="A1" s="2" t="s">
        <v>409</v>
      </c>
    </row>
    <row r="2" customFormat="false" ht="15" hidden="false" customHeight="true" outlineLevel="0" collapsed="false">
      <c r="A2" s="3" t="s">
        <v>410</v>
      </c>
    </row>
    <row r="3" customFormat="false" ht="15" hidden="false" customHeight="true" outlineLevel="0" collapsed="false">
      <c r="A3" s="21" t="s">
        <v>411</v>
      </c>
      <c r="B3" s="21" t="s">
        <v>412</v>
      </c>
      <c r="C3" s="21" t="s">
        <v>413</v>
      </c>
      <c r="D3" s="21" t="s">
        <v>414</v>
      </c>
    </row>
    <row r="4" customFormat="false" ht="21.75" hidden="false" customHeight="true" outlineLevel="0" collapsed="false">
      <c r="A4" s="5" t="s">
        <v>415</v>
      </c>
      <c r="B4" s="5" t="s">
        <v>416</v>
      </c>
      <c r="C4" s="35" t="s">
        <v>417</v>
      </c>
      <c r="D4" s="25" t="s">
        <v>418</v>
      </c>
    </row>
    <row r="5" customFormat="false" ht="15" hidden="false" customHeight="true" outlineLevel="0" collapsed="false">
      <c r="A5" s="5" t="s">
        <v>419</v>
      </c>
      <c r="B5" s="5" t="s">
        <v>420</v>
      </c>
      <c r="C5" s="35" t="s">
        <v>421</v>
      </c>
      <c r="D5" s="25" t="s">
        <v>418</v>
      </c>
    </row>
    <row r="6" customFormat="false" ht="15" hidden="false" customHeight="true" outlineLevel="0" collapsed="false">
      <c r="A6" s="5" t="s">
        <v>422</v>
      </c>
      <c r="B6" s="5" t="s">
        <v>423</v>
      </c>
      <c r="C6" s="35" t="s">
        <v>424</v>
      </c>
      <c r="D6" s="25" t="s">
        <v>418</v>
      </c>
    </row>
    <row r="7" customFormat="false" ht="21.75" hidden="false" customHeight="true" outlineLevel="0" collapsed="false">
      <c r="A7" s="5" t="s">
        <v>425</v>
      </c>
      <c r="B7" s="5" t="s">
        <v>426</v>
      </c>
      <c r="C7" s="35" t="s">
        <v>427</v>
      </c>
      <c r="D7" s="25" t="s">
        <v>428</v>
      </c>
    </row>
    <row r="8" customFormat="false" ht="15" hidden="false" customHeight="true" outlineLevel="0" collapsed="false">
      <c r="A8" s="5" t="s">
        <v>429</v>
      </c>
      <c r="B8" s="5" t="s">
        <v>430</v>
      </c>
      <c r="C8" s="35" t="s">
        <v>431</v>
      </c>
      <c r="D8" s="25" t="s">
        <v>428</v>
      </c>
    </row>
    <row r="9" customFormat="false" ht="15" hidden="false" customHeight="true" outlineLevel="0" collapsed="false">
      <c r="A9" s="5" t="s">
        <v>432</v>
      </c>
      <c r="B9" s="5" t="s">
        <v>433</v>
      </c>
      <c r="C9" s="35" t="s">
        <v>434</v>
      </c>
      <c r="D9" s="25" t="s">
        <v>428</v>
      </c>
    </row>
    <row r="10" customFormat="false" ht="15" hidden="false" customHeight="true" outlineLevel="0" collapsed="false">
      <c r="A10" s="5" t="s">
        <v>435</v>
      </c>
      <c r="B10" s="5" t="s">
        <v>436</v>
      </c>
      <c r="C10" s="35" t="s">
        <v>434</v>
      </c>
      <c r="D10" s="25" t="s">
        <v>428</v>
      </c>
    </row>
    <row r="11" customFormat="false" ht="15" hidden="false" customHeight="true" outlineLevel="0" collapsed="false">
      <c r="A11" s="5" t="s">
        <v>437</v>
      </c>
      <c r="B11" s="5" t="s">
        <v>438</v>
      </c>
      <c r="C11" s="35" t="s">
        <v>439</v>
      </c>
      <c r="D11" s="25" t="s">
        <v>440</v>
      </c>
    </row>
    <row r="12" customFormat="false" ht="15" hidden="false" customHeight="true" outlineLevel="0" collapsed="false">
      <c r="A12" s="5" t="s">
        <v>441</v>
      </c>
      <c r="B12" s="5" t="s">
        <v>442</v>
      </c>
      <c r="C12" s="35" t="s">
        <v>443</v>
      </c>
      <c r="D12" s="25" t="s">
        <v>440</v>
      </c>
    </row>
    <row r="13" customFormat="false" ht="15" hidden="false" customHeight="true" outlineLevel="0" collapsed="false">
      <c r="A13" s="5" t="s">
        <v>444</v>
      </c>
      <c r="B13" s="5" t="s">
        <v>445</v>
      </c>
      <c r="C13" s="35" t="s">
        <v>443</v>
      </c>
      <c r="D13" s="25" t="s">
        <v>440</v>
      </c>
    </row>
    <row r="14" customFormat="false" ht="15" hidden="false" customHeight="true" outlineLevel="0" collapsed="false">
      <c r="A14" s="5" t="s">
        <v>446</v>
      </c>
      <c r="B14" s="5" t="s">
        <v>447</v>
      </c>
      <c r="C14" s="35" t="s">
        <v>443</v>
      </c>
      <c r="D14" s="25" t="s">
        <v>440</v>
      </c>
    </row>
    <row r="15" customFormat="false" ht="32.25" hidden="false" customHeight="true" outlineLevel="0" collapsed="false">
      <c r="A15" s="5" t="s">
        <v>448</v>
      </c>
      <c r="B15" s="5" t="s">
        <v>449</v>
      </c>
      <c r="C15" s="35" t="s">
        <v>450</v>
      </c>
      <c r="D15" s="25" t="s">
        <v>451</v>
      </c>
    </row>
    <row r="16" customFormat="false" ht="15" hidden="false" customHeight="true" outlineLevel="0" collapsed="false">
      <c r="A16" s="5" t="s">
        <v>452</v>
      </c>
      <c r="B16" s="5" t="s">
        <v>453</v>
      </c>
      <c r="C16" s="35" t="s">
        <v>454</v>
      </c>
      <c r="D16" s="25" t="s">
        <v>428</v>
      </c>
    </row>
    <row r="17" customFormat="false" ht="23.25" hidden="false" customHeight="true" outlineLevel="0" collapsed="false">
      <c r="A17" s="5" t="s">
        <v>455</v>
      </c>
      <c r="B17" s="5" t="s">
        <v>176</v>
      </c>
      <c r="C17" s="35" t="s">
        <v>456</v>
      </c>
      <c r="D17" s="25" t="s">
        <v>457</v>
      </c>
    </row>
    <row r="18" customFormat="false" ht="15" hidden="false" customHeight="true" outlineLevel="0" collapsed="false">
      <c r="A18" s="5" t="s">
        <v>458</v>
      </c>
      <c r="B18" s="5" t="s">
        <v>176</v>
      </c>
      <c r="C18" s="35" t="s">
        <v>459</v>
      </c>
      <c r="D18" s="25" t="s">
        <v>460</v>
      </c>
    </row>
    <row r="19" customFormat="false" ht="15" hidden="false" customHeight="true" outlineLevel="0" collapsed="false">
      <c r="A19" s="5" t="s">
        <v>461</v>
      </c>
      <c r="B19" s="5" t="s">
        <v>462</v>
      </c>
      <c r="C19" s="35" t="s">
        <v>463</v>
      </c>
      <c r="D19" s="25" t="s">
        <v>464</v>
      </c>
    </row>
    <row r="20" customFormat="false" ht="23.25" hidden="false" customHeight="true" outlineLevel="0" collapsed="false">
      <c r="A20" s="5" t="s">
        <v>465</v>
      </c>
      <c r="B20" s="5" t="s">
        <v>466</v>
      </c>
      <c r="C20" s="35" t="s">
        <v>463</v>
      </c>
      <c r="D20" s="25" t="s">
        <v>467</v>
      </c>
    </row>
    <row r="21" customFormat="false" ht="15" hidden="false" customHeight="true" outlineLevel="0" collapsed="false">
      <c r="A21" s="5" t="s">
        <v>468</v>
      </c>
      <c r="B21" s="5" t="s">
        <v>469</v>
      </c>
      <c r="C21" s="35" t="s">
        <v>470</v>
      </c>
      <c r="D21" s="25" t="s">
        <v>418</v>
      </c>
    </row>
    <row r="22" customFormat="false" ht="15" hidden="false" customHeight="true" outlineLevel="0" collapsed="false">
      <c r="A22" s="5" t="s">
        <v>471</v>
      </c>
      <c r="B22" s="5" t="s">
        <v>472</v>
      </c>
      <c r="C22" s="35" t="s">
        <v>473</v>
      </c>
      <c r="D22" s="25" t="s">
        <v>428</v>
      </c>
    </row>
    <row r="24" customFormat="false" ht="15" hidden="false" customHeight="true" outlineLevel="0" collapsed="false">
      <c r="A24" s="7" t="s">
        <v>474</v>
      </c>
      <c r="B24" s="8"/>
      <c r="C24" s="8"/>
      <c r="D24" s="8"/>
    </row>
    <row r="25" customFormat="false" ht="15" hidden="false" customHeight="true" outlineLevel="0" collapsed="false">
      <c r="A25" s="74" t="s">
        <v>475</v>
      </c>
      <c r="B25" s="75" t="s">
        <v>476</v>
      </c>
      <c r="C25" s="75"/>
      <c r="D25" s="75"/>
    </row>
    <row r="26" customFormat="false" ht="15" hidden="false" customHeight="true" outlineLevel="0" collapsed="false">
      <c r="A26" s="74" t="s">
        <v>477</v>
      </c>
      <c r="B26" s="75" t="s">
        <v>478</v>
      </c>
      <c r="C26" s="75"/>
      <c r="D26" s="75"/>
    </row>
    <row r="27" customFormat="false" ht="23.25" hidden="false" customHeight="true" outlineLevel="0" collapsed="false">
      <c r="A27" s="74" t="s">
        <v>479</v>
      </c>
      <c r="B27" s="75" t="s">
        <v>480</v>
      </c>
      <c r="C27" s="75"/>
      <c r="D27" s="75"/>
    </row>
    <row r="28" customFormat="false" ht="15" hidden="false" customHeight="true" outlineLevel="0" collapsed="false">
      <c r="A28" s="74" t="s">
        <v>481</v>
      </c>
      <c r="B28" s="75" t="s">
        <v>482</v>
      </c>
      <c r="C28" s="75"/>
      <c r="D28" s="75"/>
    </row>
    <row r="29" customFormat="false" ht="15" hidden="false" customHeight="true" outlineLevel="0" collapsed="false">
      <c r="A29" s="74" t="s">
        <v>483</v>
      </c>
      <c r="B29" s="75" t="s">
        <v>484</v>
      </c>
      <c r="C29" s="75"/>
      <c r="D29" s="75"/>
    </row>
  </sheetData>
  <mergeCells count="5">
    <mergeCell ref="B25:D25"/>
    <mergeCell ref="B26:D26"/>
    <mergeCell ref="B27:D27"/>
    <mergeCell ref="B28:D28"/>
    <mergeCell ref="B29:D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69D64"/>
    <pageSetUpPr fitToPage="false"/>
  </sheetPr>
  <dimension ref="A1:C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2"/>
    <col collapsed="false" customWidth="true" hidden="false" outlineLevel="0" max="2" min="2" style="1" width="14"/>
    <col collapsed="false" customWidth="true" hidden="false" outlineLevel="0" max="3" min="3" style="1" width="95"/>
  </cols>
  <sheetData>
    <row r="1" customFormat="false" ht="17.25" hidden="false" customHeight="true" outlineLevel="0" collapsed="false">
      <c r="A1" s="2" t="s">
        <v>55</v>
      </c>
    </row>
    <row r="2" customFormat="false" ht="15" hidden="false" customHeight="true" outlineLevel="0" collapsed="false">
      <c r="A2" s="3" t="s">
        <v>56</v>
      </c>
    </row>
    <row r="4" customFormat="false" ht="15" hidden="false" customHeight="true" outlineLevel="0" collapsed="false">
      <c r="A4" s="7" t="s">
        <v>57</v>
      </c>
      <c r="B4" s="8"/>
      <c r="C4" s="8"/>
    </row>
    <row r="5" customFormat="false" ht="15" hidden="false" customHeight="true" outlineLevel="0" collapsed="false">
      <c r="A5" s="4" t="s">
        <v>58</v>
      </c>
      <c r="B5" s="9" t="n">
        <v>63500</v>
      </c>
      <c r="C5" s="10" t="s">
        <v>59</v>
      </c>
    </row>
    <row r="6" customFormat="false" ht="15" hidden="false" customHeight="true" outlineLevel="0" collapsed="false">
      <c r="A6" s="4" t="s">
        <v>60</v>
      </c>
      <c r="B6" s="11" t="n">
        <v>843775</v>
      </c>
      <c r="C6" s="10" t="s">
        <v>61</v>
      </c>
    </row>
    <row r="7" customFormat="false" ht="15" hidden="false" customHeight="true" outlineLevel="0" collapsed="false">
      <c r="A7" s="4" t="s">
        <v>62</v>
      </c>
      <c r="B7" s="12" t="n">
        <v>63690</v>
      </c>
      <c r="C7" s="10" t="s">
        <v>63</v>
      </c>
    </row>
    <row r="8" customFormat="false" ht="15" hidden="false" customHeight="true" outlineLevel="0" collapsed="false">
      <c r="A8" s="4" t="s">
        <v>64</v>
      </c>
      <c r="B8" s="13" t="n">
        <f aca="false">B7*1000000/B6</f>
        <v>75482.2079345797</v>
      </c>
      <c r="C8" s="10" t="s">
        <v>65</v>
      </c>
    </row>
    <row r="9" customFormat="false" ht="15" hidden="false" customHeight="true" outlineLevel="0" collapsed="false">
      <c r="A9" s="4" t="s">
        <v>66</v>
      </c>
      <c r="B9" s="14" t="n">
        <v>1.16</v>
      </c>
      <c r="C9" s="10" t="s">
        <v>67</v>
      </c>
    </row>
    <row r="10" customFormat="false" ht="15" hidden="false" customHeight="true" outlineLevel="0" collapsed="false">
      <c r="A10" s="4" t="s">
        <v>68</v>
      </c>
      <c r="B10" s="15" t="n">
        <v>94.45</v>
      </c>
      <c r="C10" s="10" t="s">
        <v>69</v>
      </c>
    </row>
    <row r="11" customFormat="false" ht="15" hidden="false" customHeight="true" outlineLevel="0" collapsed="false">
      <c r="A11" s="4" t="s">
        <v>70</v>
      </c>
      <c r="B11" s="12" t="n">
        <v>33187.41</v>
      </c>
      <c r="C11" s="10" t="s">
        <v>71</v>
      </c>
    </row>
    <row r="13" customFormat="false" ht="15" hidden="false" customHeight="true" outlineLevel="0" collapsed="false">
      <c r="A13" s="7" t="s">
        <v>72</v>
      </c>
      <c r="B13" s="8"/>
      <c r="C13" s="8"/>
    </row>
    <row r="14" customFormat="false" ht="15" hidden="false" customHeight="true" outlineLevel="0" collapsed="false">
      <c r="A14" s="4" t="s">
        <v>73</v>
      </c>
      <c r="B14" s="16" t="n">
        <v>2550</v>
      </c>
      <c r="C14" s="10" t="s">
        <v>74</v>
      </c>
    </row>
    <row r="16" customFormat="false" ht="15" hidden="false" customHeight="true" outlineLevel="0" collapsed="false">
      <c r="A16" s="7" t="s">
        <v>75</v>
      </c>
      <c r="B16" s="8"/>
      <c r="C16" s="8"/>
    </row>
    <row r="17" customFormat="false" ht="15" hidden="false" customHeight="true" outlineLevel="0" collapsed="false">
      <c r="A17" s="4" t="s">
        <v>76</v>
      </c>
      <c r="B17" s="17" t="n">
        <v>1</v>
      </c>
      <c r="C17" s="10" t="s">
        <v>77</v>
      </c>
    </row>
    <row r="18" customFormat="false" ht="15" hidden="false" customHeight="true" outlineLevel="0" collapsed="false">
      <c r="A18" s="4" t="s">
        <v>78</v>
      </c>
      <c r="B18" s="17" t="n">
        <v>0.05</v>
      </c>
      <c r="C18" s="10" t="s">
        <v>79</v>
      </c>
    </row>
    <row r="19" customFormat="false" ht="15" hidden="false" customHeight="true" outlineLevel="0" collapsed="false">
      <c r="A19" s="4" t="s">
        <v>80</v>
      </c>
      <c r="B19" s="12" t="n">
        <v>500</v>
      </c>
      <c r="C19" s="10" t="s">
        <v>81</v>
      </c>
    </row>
    <row r="20" customFormat="false" ht="15" hidden="false" customHeight="true" outlineLevel="0" collapsed="false">
      <c r="A20" s="4" t="s">
        <v>82</v>
      </c>
      <c r="B20" s="18" t="n">
        <v>0</v>
      </c>
    </row>
    <row r="21" customFormat="false" ht="15" hidden="false" customHeight="true" outlineLevel="0" collapsed="false">
      <c r="A21" s="4" t="s">
        <v>83</v>
      </c>
      <c r="B21" s="18" t="n">
        <v>1</v>
      </c>
      <c r="C21" s="10" t="s">
        <v>84</v>
      </c>
    </row>
    <row r="22" customFormat="false" ht="15" hidden="false" customHeight="true" outlineLevel="0" collapsed="false">
      <c r="A22" s="4" t="s">
        <v>85</v>
      </c>
      <c r="B22" s="17" t="n">
        <v>0.21</v>
      </c>
      <c r="C22" s="10" t="s">
        <v>86</v>
      </c>
    </row>
    <row r="23" customFormat="false" ht="15" hidden="false" customHeight="true" outlineLevel="0" collapsed="false">
      <c r="A23" s="4" t="s">
        <v>87</v>
      </c>
      <c r="B23" s="18" t="n">
        <v>1</v>
      </c>
      <c r="C23" s="10" t="s">
        <v>88</v>
      </c>
    </row>
    <row r="25" customFormat="false" ht="15" hidden="false" customHeight="true" outlineLevel="0" collapsed="false">
      <c r="A25" s="7" t="s">
        <v>89</v>
      </c>
      <c r="B25" s="8"/>
      <c r="C25" s="8"/>
    </row>
    <row r="26" customFormat="false" ht="15" hidden="false" customHeight="true" outlineLevel="0" collapsed="false">
      <c r="A26" s="4" t="s">
        <v>90</v>
      </c>
      <c r="B26" s="12" t="n">
        <v>60</v>
      </c>
      <c r="C26" s="10" t="s">
        <v>91</v>
      </c>
    </row>
    <row r="27" customFormat="false" ht="15" hidden="false" customHeight="true" outlineLevel="0" collapsed="false">
      <c r="A27" s="4" t="s">
        <v>92</v>
      </c>
      <c r="B27" s="17" t="n">
        <v>0.052</v>
      </c>
    </row>
    <row r="29" customFormat="false" ht="15" hidden="false" customHeight="true" outlineLevel="0" collapsed="false">
      <c r="A29" s="7" t="s">
        <v>93</v>
      </c>
      <c r="B29" s="8"/>
      <c r="C29" s="8"/>
    </row>
    <row r="30" customFormat="false" ht="15" hidden="false" customHeight="true" outlineLevel="0" collapsed="false">
      <c r="A30" s="4" t="s">
        <v>94</v>
      </c>
      <c r="B30" s="19" t="n">
        <f aca="false">B6*B5/1000000</f>
        <v>53579.7125</v>
      </c>
    </row>
    <row r="31" customFormat="false" ht="15" hidden="false" customHeight="true" outlineLevel="0" collapsed="false">
      <c r="A31" s="4" t="s">
        <v>95</v>
      </c>
      <c r="B31" s="19" t="n">
        <f aca="false">B30-B7</f>
        <v>-10110.2875</v>
      </c>
    </row>
    <row r="32" customFormat="false" ht="15" hidden="false" customHeight="true" outlineLevel="0" collapsed="false">
      <c r="A32" s="4" t="s">
        <v>96</v>
      </c>
      <c r="B32" s="20" t="n">
        <f aca="false">B30/B7</f>
        <v>0.841257850525985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42E46"/>
    <pageSetUpPr fitToPage="false"/>
  </sheetPr>
  <dimension ref="A1:K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13"/>
    <col collapsed="false" customWidth="true" hidden="false" outlineLevel="0" max="3" min="3" style="1" width="8"/>
    <col collapsed="false" customWidth="true" hidden="false" outlineLevel="0" max="4" min="4" style="1" width="12"/>
    <col collapsed="false" customWidth="true" hidden="false" outlineLevel="0" max="5" min="5" style="1" width="16"/>
    <col collapsed="false" customWidth="true" hidden="false" outlineLevel="0" max="6" min="6" style="1" width="14"/>
    <col collapsed="false" customWidth="true" hidden="false" outlineLevel="0" max="7" min="7" style="1" width="22"/>
    <col collapsed="false" customWidth="true" hidden="false" outlineLevel="0" max="10" min="8" style="1" width="12"/>
    <col collapsed="false" customWidth="true" hidden="false" outlineLevel="0" max="11" min="11" style="1" width="62"/>
  </cols>
  <sheetData>
    <row r="1" customFormat="false" ht="17.25" hidden="false" customHeight="true" outlineLevel="0" collapsed="false">
      <c r="A1" s="2" t="s">
        <v>97</v>
      </c>
    </row>
    <row r="2" customFormat="false" ht="15" hidden="false" customHeight="true" outlineLevel="0" collapsed="false">
      <c r="A2" s="3" t="s">
        <v>98</v>
      </c>
    </row>
    <row r="3" customFormat="false" ht="23.25" hidden="false" customHeight="true" outlineLevel="0" collapsed="false">
      <c r="A3" s="21" t="s">
        <v>99</v>
      </c>
      <c r="B3" s="21" t="s">
        <v>100</v>
      </c>
      <c r="C3" s="21" t="s">
        <v>101</v>
      </c>
      <c r="D3" s="21" t="s">
        <v>102</v>
      </c>
      <c r="E3" s="21" t="s">
        <v>103</v>
      </c>
      <c r="F3" s="21" t="s">
        <v>104</v>
      </c>
      <c r="G3" s="21" t="s">
        <v>105</v>
      </c>
      <c r="H3" s="21" t="s">
        <v>106</v>
      </c>
      <c r="I3" s="21" t="s">
        <v>107</v>
      </c>
      <c r="J3" s="21" t="s">
        <v>108</v>
      </c>
      <c r="K3" s="21" t="s">
        <v>109</v>
      </c>
    </row>
    <row r="4" customFormat="false" ht="15" hidden="false" customHeight="true" outlineLevel="0" collapsed="false">
      <c r="A4" s="4" t="s">
        <v>110</v>
      </c>
      <c r="B4" s="22" t="n">
        <v>1010</v>
      </c>
      <c r="C4" s="23" t="n">
        <v>0.00625</v>
      </c>
      <c r="D4" s="24" t="s">
        <v>111</v>
      </c>
      <c r="E4" s="24" t="s">
        <v>112</v>
      </c>
      <c r="F4" s="25" t="s">
        <v>113</v>
      </c>
      <c r="G4" s="4" t="s">
        <v>114</v>
      </c>
      <c r="H4" s="15" t="n">
        <v>183.19</v>
      </c>
      <c r="I4" s="26" t="n">
        <f aca="false">B4*C4</f>
        <v>6.3125</v>
      </c>
      <c r="J4" s="27" t="s">
        <v>115</v>
      </c>
      <c r="K4" s="10" t="s">
        <v>116</v>
      </c>
    </row>
    <row r="5" customFormat="false" ht="15" hidden="false" customHeight="true" outlineLevel="0" collapsed="false">
      <c r="A5" s="4" t="s">
        <v>117</v>
      </c>
      <c r="B5" s="22" t="n">
        <v>3000</v>
      </c>
      <c r="C5" s="23" t="n">
        <v>0</v>
      </c>
      <c r="D5" s="24" t="s">
        <v>118</v>
      </c>
      <c r="E5" s="24" t="s">
        <v>119</v>
      </c>
      <c r="F5" s="25" t="s">
        <v>113</v>
      </c>
      <c r="G5" s="4" t="s">
        <v>114</v>
      </c>
      <c r="H5" s="15" t="n">
        <v>672.4</v>
      </c>
      <c r="I5" s="26" t="n">
        <f aca="false">B5*C5</f>
        <v>0</v>
      </c>
      <c r="J5" s="27" t="s">
        <v>115</v>
      </c>
      <c r="K5" s="10" t="s">
        <v>120</v>
      </c>
    </row>
    <row r="6" customFormat="false" ht="15" hidden="false" customHeight="true" outlineLevel="0" collapsed="false">
      <c r="A6" s="4" t="s">
        <v>121</v>
      </c>
      <c r="B6" s="22" t="n">
        <v>800</v>
      </c>
      <c r="C6" s="23" t="n">
        <v>0.00625</v>
      </c>
      <c r="D6" s="24" t="s">
        <v>122</v>
      </c>
      <c r="E6" s="24" t="s">
        <v>123</v>
      </c>
      <c r="F6" s="25" t="s">
        <v>113</v>
      </c>
      <c r="G6" s="4" t="s">
        <v>114</v>
      </c>
      <c r="H6" s="15" t="n">
        <v>149.77</v>
      </c>
      <c r="I6" s="26" t="n">
        <f aca="false">B6*C6</f>
        <v>5</v>
      </c>
      <c r="J6" s="27" t="s">
        <v>115</v>
      </c>
      <c r="K6" s="10" t="s">
        <v>124</v>
      </c>
    </row>
    <row r="7" customFormat="false" ht="15" hidden="false" customHeight="true" outlineLevel="0" collapsed="false">
      <c r="A7" s="4" t="s">
        <v>125</v>
      </c>
      <c r="B7" s="22" t="n">
        <v>2000</v>
      </c>
      <c r="C7" s="23" t="n">
        <v>0</v>
      </c>
      <c r="D7" s="24" t="s">
        <v>122</v>
      </c>
      <c r="E7" s="24" t="s">
        <v>126</v>
      </c>
      <c r="F7" s="25" t="s">
        <v>113</v>
      </c>
      <c r="G7" s="4" t="s">
        <v>114</v>
      </c>
      <c r="H7" s="15" t="n">
        <v>433.43</v>
      </c>
      <c r="I7" s="26" t="n">
        <f aca="false">B7*C7</f>
        <v>0</v>
      </c>
      <c r="J7" s="27" t="s">
        <v>115</v>
      </c>
      <c r="K7" s="10" t="s">
        <v>127</v>
      </c>
    </row>
    <row r="8" customFormat="false" ht="15" hidden="false" customHeight="true" outlineLevel="0" collapsed="false">
      <c r="A8" s="4" t="s">
        <v>128</v>
      </c>
      <c r="B8" s="22" t="n">
        <v>603.659</v>
      </c>
      <c r="C8" s="23" t="n">
        <v>0.00875</v>
      </c>
      <c r="D8" s="24" t="s">
        <v>129</v>
      </c>
      <c r="E8" s="24" t="s">
        <v>123</v>
      </c>
      <c r="F8" s="25" t="s">
        <v>113</v>
      </c>
      <c r="G8" s="4" t="s">
        <v>114</v>
      </c>
      <c r="H8" s="15" t="n">
        <v>232.72</v>
      </c>
      <c r="I8" s="26" t="n">
        <f aca="false">B8*C8</f>
        <v>5.28201625</v>
      </c>
      <c r="J8" s="27" t="s">
        <v>115</v>
      </c>
      <c r="K8" s="10"/>
    </row>
    <row r="9" customFormat="false" ht="15" hidden="false" customHeight="true" outlineLevel="0" collapsed="false">
      <c r="A9" s="4" t="s">
        <v>130</v>
      </c>
      <c r="B9" s="22" t="n">
        <v>800</v>
      </c>
      <c r="C9" s="23" t="n">
        <v>0.0225</v>
      </c>
      <c r="D9" s="24" t="s">
        <v>131</v>
      </c>
      <c r="E9" s="24" t="s">
        <v>132</v>
      </c>
      <c r="F9" s="25" t="s">
        <v>113</v>
      </c>
      <c r="G9" s="4" t="s">
        <v>114</v>
      </c>
      <c r="H9" s="15" t="n">
        <v>204.33</v>
      </c>
      <c r="I9" s="26" t="n">
        <f aca="false">B9*C9</f>
        <v>18</v>
      </c>
      <c r="J9" s="27" t="s">
        <v>115</v>
      </c>
      <c r="K9" s="10"/>
    </row>
    <row r="10" customFormat="false" ht="15" hidden="false" customHeight="true" outlineLevel="0" collapsed="false">
      <c r="A10" s="4" t="s">
        <v>133</v>
      </c>
      <c r="B10" s="22" t="n">
        <v>40.193</v>
      </c>
      <c r="C10" s="28" t="n">
        <f aca="false">Assumptions!B27</f>
        <v>0.052</v>
      </c>
      <c r="D10" s="24" t="s">
        <v>134</v>
      </c>
      <c r="E10" s="24" t="s">
        <v>135</v>
      </c>
      <c r="F10" s="25" t="s">
        <v>136</v>
      </c>
      <c r="G10" s="4" t="s">
        <v>137</v>
      </c>
      <c r="I10" s="26" t="n">
        <f aca="false">B10*C10</f>
        <v>2.090036</v>
      </c>
      <c r="J10" s="27" t="s">
        <v>115</v>
      </c>
      <c r="K10" s="10" t="s">
        <v>138</v>
      </c>
    </row>
    <row r="11" customFormat="false" ht="15" hidden="false" customHeight="true" outlineLevel="0" collapsed="false">
      <c r="A11" s="6" t="s">
        <v>139</v>
      </c>
      <c r="B11" s="29" t="n">
        <f aca="false">SUM(B4:B9)</f>
        <v>8213.659</v>
      </c>
      <c r="I11" s="29" t="n">
        <f aca="false">SUM(I4:I9)</f>
        <v>34.59451625</v>
      </c>
    </row>
    <row r="12" customFormat="false" ht="15" hidden="false" customHeight="true" outlineLevel="0" collapsed="false">
      <c r="A12" s="6" t="s">
        <v>140</v>
      </c>
      <c r="B12" s="30" t="n">
        <f aca="false">SUM(B4:B10)</f>
        <v>8253.852</v>
      </c>
      <c r="I12" s="30" t="n">
        <f aca="false">SUM(I4:I10)</f>
        <v>36.68455225</v>
      </c>
    </row>
    <row r="13" customFormat="false" ht="15" hidden="false" customHeight="true" outlineLevel="0" collapsed="false">
      <c r="A13" s="4" t="s">
        <v>141</v>
      </c>
      <c r="B13" s="22" t="n">
        <v>5.97</v>
      </c>
    </row>
    <row r="14" customFormat="false" ht="15" hidden="false" customHeight="true" outlineLevel="0" collapsed="false">
      <c r="A14" s="6" t="s">
        <v>142</v>
      </c>
      <c r="B14" s="30" t="n">
        <f aca="false">B12+B13</f>
        <v>8259.822</v>
      </c>
    </row>
    <row r="15" customFormat="false" ht="15" hidden="false" customHeight="true" outlineLevel="0" collapsed="false">
      <c r="A15" s="4" t="s">
        <v>143</v>
      </c>
      <c r="B15" s="26" t="n">
        <f aca="false">B10</f>
        <v>40.193</v>
      </c>
    </row>
    <row r="16" customFormat="false" ht="15" hidden="false" customHeight="true" outlineLevel="0" collapsed="false">
      <c r="A16" s="4" t="s">
        <v>144</v>
      </c>
      <c r="B16" s="26" t="n">
        <f aca="false">B11+B13</f>
        <v>8219.629</v>
      </c>
    </row>
    <row r="18" customFormat="false" ht="15" hidden="false" customHeight="true" outlineLevel="0" collapsed="false">
      <c r="A18" s="10" t="s">
        <v>145</v>
      </c>
    </row>
    <row r="19" customFormat="false" ht="15" hidden="false" customHeight="true" outlineLevel="0" collapsed="false">
      <c r="A19" s="10" t="s">
        <v>146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42E46"/>
    <pageSetUpPr fitToPage="false"/>
  </sheetPr>
  <dimension ref="A1:P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34"/>
    <col collapsed="false" customWidth="true" hidden="false" outlineLevel="0" max="3" min="3" style="1" width="15"/>
    <col collapsed="false" customWidth="true" hidden="false" outlineLevel="0" max="4" min="4" style="1" width="12"/>
    <col collapsed="false" customWidth="true" hidden="false" outlineLevel="0" max="5" min="5" style="1" width="6"/>
    <col collapsed="false" customWidth="true" hidden="false" outlineLevel="0" max="6" min="6" style="1" width="9"/>
    <col collapsed="false" customWidth="true" hidden="false" outlineLevel="0" max="7" min="7" style="1" width="16"/>
    <col collapsed="false" customWidth="true" hidden="false" outlineLevel="0" max="8" min="8" style="1" width="10"/>
    <col collapsed="false" customWidth="true" hidden="false" outlineLevel="0" max="9" min="9" style="1" width="13"/>
    <col collapsed="false" customWidth="true" hidden="false" outlineLevel="0" max="10" min="10" style="1" width="30"/>
    <col collapsed="false" customWidth="true" hidden="false" outlineLevel="0" max="11" min="11" style="1" width="11"/>
    <col collapsed="false" customWidth="true" hidden="false" outlineLevel="0" max="12" min="12" style="1" width="6"/>
    <col collapsed="false" customWidth="true" hidden="false" outlineLevel="0" max="13" min="13" style="1" width="32"/>
    <col collapsed="false" customWidth="true" hidden="false" outlineLevel="0" max="14" min="14" style="1" width="26"/>
    <col collapsed="false" customWidth="true" hidden="false" outlineLevel="0" max="15" min="15" style="1" width="12"/>
    <col collapsed="false" customWidth="true" hidden="false" outlineLevel="0" max="16" min="16" style="1" width="70"/>
  </cols>
  <sheetData>
    <row r="1" customFormat="false" ht="17.25" hidden="false" customHeight="true" outlineLevel="0" collapsed="false">
      <c r="A1" s="2" t="s">
        <v>147</v>
      </c>
    </row>
    <row r="2" customFormat="false" ht="15" hidden="false" customHeight="true" outlineLevel="0" collapsed="false">
      <c r="A2" s="3" t="s">
        <v>148</v>
      </c>
    </row>
    <row r="3" customFormat="false" ht="23.25" hidden="false" customHeight="true" outlineLevel="0" collapsed="false">
      <c r="A3" s="21" t="s">
        <v>149</v>
      </c>
      <c r="B3" s="21" t="s">
        <v>150</v>
      </c>
      <c r="C3" s="21" t="s">
        <v>151</v>
      </c>
      <c r="D3" s="21" t="s">
        <v>152</v>
      </c>
      <c r="E3" s="21" t="s">
        <v>153</v>
      </c>
      <c r="F3" s="21" t="s">
        <v>154</v>
      </c>
      <c r="G3" s="21" t="s">
        <v>155</v>
      </c>
      <c r="H3" s="21" t="s">
        <v>156</v>
      </c>
      <c r="I3" s="21" t="s">
        <v>157</v>
      </c>
      <c r="J3" s="21" t="s">
        <v>158</v>
      </c>
      <c r="K3" s="21" t="s">
        <v>159</v>
      </c>
      <c r="L3" s="21" t="s">
        <v>160</v>
      </c>
      <c r="M3" s="21" t="s">
        <v>161</v>
      </c>
      <c r="N3" s="21" t="s">
        <v>162</v>
      </c>
      <c r="O3" s="21" t="s">
        <v>163</v>
      </c>
      <c r="P3" s="21" t="s">
        <v>164</v>
      </c>
    </row>
    <row r="4" customFormat="false" ht="23.25" hidden="false" customHeight="true" outlineLevel="0" collapsed="false">
      <c r="A4" s="6" t="s">
        <v>165</v>
      </c>
      <c r="B4" s="4" t="s">
        <v>166</v>
      </c>
      <c r="C4" s="11" t="n">
        <v>12839689</v>
      </c>
      <c r="D4" s="31" t="n">
        <v>100</v>
      </c>
      <c r="E4" s="25" t="s">
        <v>167</v>
      </c>
      <c r="F4" s="32" t="n">
        <v>1</v>
      </c>
      <c r="G4" s="19" t="n">
        <f aca="false">C4*D4*F4/1000000</f>
        <v>1283.9689</v>
      </c>
      <c r="H4" s="17" t="n">
        <v>0.1</v>
      </c>
      <c r="I4" s="19" t="n">
        <f aca="false">G4*H4</f>
        <v>128.39689</v>
      </c>
      <c r="J4" s="5" t="s">
        <v>168</v>
      </c>
      <c r="K4" s="27" t="s">
        <v>169</v>
      </c>
      <c r="L4" s="33" t="n">
        <v>5</v>
      </c>
      <c r="M4" s="5" t="s">
        <v>170</v>
      </c>
      <c r="N4" s="5" t="s">
        <v>171</v>
      </c>
      <c r="O4" s="34" t="n">
        <v>92</v>
      </c>
      <c r="P4" s="35" t="s">
        <v>172</v>
      </c>
    </row>
    <row r="5" customFormat="false" ht="23.25" hidden="false" customHeight="true" outlineLevel="0" collapsed="false">
      <c r="A5" s="6" t="s">
        <v>173</v>
      </c>
      <c r="B5" s="4" t="s">
        <v>174</v>
      </c>
      <c r="C5" s="36" t="n">
        <v>100000000</v>
      </c>
      <c r="D5" s="31" t="n">
        <v>100</v>
      </c>
      <c r="E5" s="25" t="s">
        <v>167</v>
      </c>
      <c r="F5" s="32" t="n">
        <v>1</v>
      </c>
      <c r="G5" s="19" t="n">
        <f aca="false">C5*D5*F5/1000000</f>
        <v>10000</v>
      </c>
      <c r="H5" s="17" t="n">
        <v>0.12</v>
      </c>
      <c r="I5" s="19" t="n">
        <f aca="false">G5*H5</f>
        <v>1200</v>
      </c>
      <c r="J5" s="5" t="s">
        <v>175</v>
      </c>
      <c r="K5" s="27" t="s">
        <v>176</v>
      </c>
      <c r="L5" s="33" t="n">
        <v>6</v>
      </c>
      <c r="M5" s="5" t="s">
        <v>177</v>
      </c>
      <c r="N5" s="5" t="s">
        <v>171</v>
      </c>
      <c r="O5" s="15" t="n">
        <v>87.87</v>
      </c>
      <c r="P5" s="35" t="s">
        <v>178</v>
      </c>
    </row>
    <row r="6" customFormat="false" ht="23.25" hidden="false" customHeight="true" outlineLevel="0" collapsed="false">
      <c r="A6" s="6" t="s">
        <v>179</v>
      </c>
      <c r="B6" s="4" t="s">
        <v>180</v>
      </c>
      <c r="C6" s="11" t="n">
        <v>7750000</v>
      </c>
      <c r="D6" s="31" t="n">
        <v>100</v>
      </c>
      <c r="E6" s="25" t="s">
        <v>181</v>
      </c>
      <c r="F6" s="37" t="n">
        <f aca="false">Assumptions!B9</f>
        <v>1.16</v>
      </c>
      <c r="G6" s="19" t="n">
        <f aca="false">C6*D6*F6/1000000</f>
        <v>899</v>
      </c>
      <c r="H6" s="17" t="n">
        <v>0.1</v>
      </c>
      <c r="I6" s="19" t="n">
        <f aca="false">G6*H6</f>
        <v>89.9</v>
      </c>
      <c r="J6" s="5" t="s">
        <v>168</v>
      </c>
      <c r="K6" s="27" t="s">
        <v>182</v>
      </c>
      <c r="L6" s="33" t="n">
        <v>7</v>
      </c>
      <c r="M6" s="5" t="s">
        <v>183</v>
      </c>
      <c r="N6" s="5" t="s">
        <v>171</v>
      </c>
      <c r="O6" s="34" t="n">
        <v>95</v>
      </c>
      <c r="P6" s="35" t="s">
        <v>184</v>
      </c>
    </row>
    <row r="7" customFormat="false" ht="23.25" hidden="false" customHeight="true" outlineLevel="0" collapsed="false">
      <c r="A7" s="6" t="s">
        <v>185</v>
      </c>
      <c r="B7" s="4" t="s">
        <v>186</v>
      </c>
      <c r="C7" s="11" t="n">
        <v>14020744</v>
      </c>
      <c r="D7" s="31" t="n">
        <v>100</v>
      </c>
      <c r="E7" s="25" t="s">
        <v>167</v>
      </c>
      <c r="F7" s="32" t="n">
        <v>1</v>
      </c>
      <c r="G7" s="19" t="n">
        <f aca="false">C7*D7*F7/1000000</f>
        <v>1402.0744</v>
      </c>
      <c r="H7" s="17" t="n">
        <v>0.08</v>
      </c>
      <c r="I7" s="19" t="n">
        <f aca="false">G7*H7</f>
        <v>112.165952</v>
      </c>
      <c r="J7" s="5" t="s">
        <v>187</v>
      </c>
      <c r="K7" s="27" t="s">
        <v>182</v>
      </c>
      <c r="L7" s="33" t="n">
        <v>8</v>
      </c>
      <c r="M7" s="5" t="s">
        <v>188</v>
      </c>
      <c r="N7" s="5" t="s">
        <v>189</v>
      </c>
      <c r="O7" s="34" t="n">
        <v>55</v>
      </c>
      <c r="P7" s="35" t="s">
        <v>190</v>
      </c>
    </row>
    <row r="8" customFormat="false" ht="23.25" hidden="false" customHeight="true" outlineLevel="0" collapsed="false">
      <c r="A8" s="6" t="s">
        <v>191</v>
      </c>
      <c r="B8" s="4" t="s">
        <v>192</v>
      </c>
      <c r="C8" s="11" t="n">
        <v>14024221</v>
      </c>
      <c r="D8" s="31" t="n">
        <v>100</v>
      </c>
      <c r="E8" s="25" t="s">
        <v>167</v>
      </c>
      <c r="F8" s="32" t="n">
        <v>1</v>
      </c>
      <c r="G8" s="19" t="n">
        <f aca="false">C8*D8*F8/1000000</f>
        <v>1402.4221</v>
      </c>
      <c r="H8" s="17" t="n">
        <v>0.1</v>
      </c>
      <c r="I8" s="19" t="n">
        <f aca="false">G8*H8</f>
        <v>140.24221</v>
      </c>
      <c r="J8" s="5" t="s">
        <v>193</v>
      </c>
      <c r="K8" s="27" t="s">
        <v>182</v>
      </c>
      <c r="L8" s="33" t="n">
        <v>9</v>
      </c>
      <c r="M8" s="5" t="s">
        <v>188</v>
      </c>
      <c r="N8" s="5" t="s">
        <v>171</v>
      </c>
      <c r="O8" s="34" t="n">
        <v>60</v>
      </c>
      <c r="P8" s="35" t="s">
        <v>194</v>
      </c>
    </row>
    <row r="9" customFormat="false" ht="15" hidden="false" customHeight="true" outlineLevel="0" collapsed="false">
      <c r="A9" s="6" t="s">
        <v>195</v>
      </c>
      <c r="G9" s="38" t="n">
        <f aca="false">SUM(G4:G8)</f>
        <v>14987.4654</v>
      </c>
      <c r="I9" s="38" t="n">
        <f aca="false">SUM(I4:I8)</f>
        <v>1670.705052</v>
      </c>
    </row>
    <row r="11" customFormat="false" ht="15" hidden="false" customHeight="true" outlineLevel="0" collapsed="false">
      <c r="A11" s="10" t="s">
        <v>196</v>
      </c>
    </row>
    <row r="12" customFormat="false" ht="15" hidden="false" customHeight="true" outlineLevel="0" collapsed="false">
      <c r="A12" s="10" t="s">
        <v>197</v>
      </c>
    </row>
    <row r="13" customFormat="false" ht="15" hidden="false" customHeight="true" outlineLevel="0" collapsed="false">
      <c r="A13" s="10" t="s">
        <v>198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42E46"/>
    <pageSetUpPr fitToPage="false"/>
  </sheetPr>
  <dimension ref="A1:C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2"/>
    <col collapsed="false" customWidth="true" hidden="false" outlineLevel="0" max="2" min="2" style="1" width="13"/>
    <col collapsed="false" customWidth="true" hidden="false" outlineLevel="0" max="3" min="3" style="1" width="90"/>
  </cols>
  <sheetData>
    <row r="1" customFormat="false" ht="17.25" hidden="false" customHeight="true" outlineLevel="0" collapsed="false">
      <c r="A1" s="2" t="s">
        <v>199</v>
      </c>
    </row>
    <row r="2" customFormat="false" ht="15" hidden="false" customHeight="true" outlineLevel="0" collapsed="false">
      <c r="A2" s="3" t="s">
        <v>200</v>
      </c>
    </row>
    <row r="3" customFormat="false" ht="15" hidden="false" customHeight="true" outlineLevel="0" collapsed="false">
      <c r="A3" s="21" t="s">
        <v>201</v>
      </c>
      <c r="B3" s="21" t="s">
        <v>202</v>
      </c>
      <c r="C3" s="21" t="s">
        <v>109</v>
      </c>
    </row>
    <row r="4" customFormat="false" ht="15" hidden="false" customHeight="true" outlineLevel="0" collapsed="false">
      <c r="A4" s="4" t="s">
        <v>203</v>
      </c>
      <c r="B4" s="22" t="n">
        <v>44.66</v>
      </c>
      <c r="C4" s="35"/>
    </row>
    <row r="5" customFormat="false" ht="15" hidden="false" customHeight="true" outlineLevel="0" collapsed="false">
      <c r="A5" s="4" t="s">
        <v>204</v>
      </c>
      <c r="B5" s="22" t="n">
        <v>33.654</v>
      </c>
      <c r="C5" s="35"/>
    </row>
    <row r="6" customFormat="false" ht="15" hidden="false" customHeight="true" outlineLevel="0" collapsed="false">
      <c r="A6" s="4" t="s">
        <v>205</v>
      </c>
      <c r="B6" s="22" t="n">
        <v>48.153</v>
      </c>
      <c r="C6" s="35" t="s">
        <v>206</v>
      </c>
    </row>
    <row r="7" customFormat="false" ht="15" hidden="false" customHeight="true" outlineLevel="0" collapsed="false">
      <c r="A7" s="4" t="s">
        <v>207</v>
      </c>
      <c r="B7" s="22" t="n">
        <v>236.442</v>
      </c>
      <c r="C7" s="35" t="s">
        <v>208</v>
      </c>
    </row>
    <row r="8" customFormat="false" ht="15" hidden="false" customHeight="true" outlineLevel="0" collapsed="false">
      <c r="A8" s="4" t="s">
        <v>209</v>
      </c>
      <c r="B8" s="22" t="n">
        <v>60.861</v>
      </c>
      <c r="C8" s="35" t="s">
        <v>210</v>
      </c>
    </row>
    <row r="9" customFormat="false" ht="15" hidden="false" customHeight="true" outlineLevel="0" collapsed="false">
      <c r="A9" s="4" t="s">
        <v>211</v>
      </c>
      <c r="B9" s="22" t="n">
        <v>4.822</v>
      </c>
      <c r="C9" s="35"/>
    </row>
    <row r="10" customFormat="false" ht="15" hidden="false" customHeight="true" outlineLevel="0" collapsed="false">
      <c r="A10" s="4" t="s">
        <v>212</v>
      </c>
      <c r="B10" s="22" t="n">
        <v>1.379</v>
      </c>
      <c r="C10" s="35" t="s">
        <v>213</v>
      </c>
    </row>
    <row r="12" customFormat="false" ht="15" hidden="false" customHeight="true" outlineLevel="0" collapsed="false">
      <c r="A12" s="6" t="s">
        <v>214</v>
      </c>
      <c r="B12" s="29" t="n">
        <f aca="false">B4+B5+B6+B7*Assumptions!B23+B8+B9+B10</f>
        <v>429.971</v>
      </c>
    </row>
    <row r="14" customFormat="false" ht="15" hidden="false" customHeight="true" outlineLevel="0" collapsed="false">
      <c r="A14" s="10" t="s">
        <v>215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69D64"/>
    <pageSetUpPr fitToPage="false"/>
  </sheetPr>
  <dimension ref="A1:E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8"/>
    <col collapsed="false" customWidth="true" hidden="false" outlineLevel="0" max="2" min="2" style="1" width="16"/>
    <col collapsed="false" customWidth="true" hidden="false" outlineLevel="0" max="3" min="3" style="1" width="18"/>
    <col collapsed="false" customWidth="true" hidden="false" outlineLevel="0" max="4" min="4" style="1" width="14"/>
    <col collapsed="false" customWidth="true" hidden="false" outlineLevel="0" max="5" min="5" style="1" width="12"/>
  </cols>
  <sheetData>
    <row r="1" customFormat="false" ht="17.25" hidden="false" customHeight="true" outlineLevel="0" collapsed="false">
      <c r="A1" s="2" t="s">
        <v>216</v>
      </c>
    </row>
    <row r="2" customFormat="false" ht="15" hidden="false" customHeight="true" outlineLevel="0" collapsed="false">
      <c r="A2" s="3" t="s">
        <v>217</v>
      </c>
    </row>
    <row r="3" customFormat="false" ht="15" hidden="false" customHeight="true" outlineLevel="0" collapsed="false">
      <c r="A3" s="7" t="s">
        <v>30</v>
      </c>
      <c r="B3" s="8"/>
      <c r="C3" s="8"/>
      <c r="D3" s="8"/>
      <c r="E3" s="8"/>
    </row>
    <row r="4" customFormat="false" ht="15" hidden="false" customHeight="true" outlineLevel="0" collapsed="false">
      <c r="A4" s="4" t="s">
        <v>218</v>
      </c>
      <c r="B4" s="39" t="n">
        <f aca="false">Assumptions!B5</f>
        <v>63500</v>
      </c>
    </row>
    <row r="5" customFormat="false" ht="15" hidden="false" customHeight="true" outlineLevel="0" collapsed="false">
      <c r="A5" s="4" t="s">
        <v>219</v>
      </c>
      <c r="B5" s="19" t="n">
        <f aca="false">Assumptions!B6*B4/1000000</f>
        <v>53579.7125</v>
      </c>
    </row>
    <row r="6" customFormat="false" ht="15" hidden="false" customHeight="true" outlineLevel="0" collapsed="false">
      <c r="A6" s="4" t="s">
        <v>220</v>
      </c>
      <c r="B6" s="40" t="n">
        <f aca="false">Assumptions!B17</f>
        <v>1</v>
      </c>
    </row>
    <row r="7" customFormat="false" ht="15" hidden="false" customHeight="true" outlineLevel="0" collapsed="false">
      <c r="A7" s="4" t="s">
        <v>221</v>
      </c>
      <c r="B7" s="19" t="n">
        <f aca="false">B5*B6</f>
        <v>53579.7125</v>
      </c>
    </row>
    <row r="8" customFormat="false" ht="15" hidden="false" customHeight="true" outlineLevel="0" collapsed="false">
      <c r="A8" s="4" t="s">
        <v>222</v>
      </c>
      <c r="B8" s="19" t="n">
        <f aca="false">IF(Assumptions!B20=1,Assumptions!B19,Assumptions!B18*B5)</f>
        <v>2678.985625</v>
      </c>
    </row>
    <row r="9" customFormat="false" ht="15" hidden="false" customHeight="true" outlineLevel="0" collapsed="false">
      <c r="A9" s="4" t="s">
        <v>223</v>
      </c>
      <c r="B9" s="19" t="n">
        <f aca="false">Assumptions!B21*Assumptions!B22*MAX(0,B7-Assumptions!B7)</f>
        <v>0</v>
      </c>
    </row>
    <row r="10" customFormat="false" ht="15" hidden="false" customHeight="true" outlineLevel="0" collapsed="false">
      <c r="A10" s="4" t="s">
        <v>224</v>
      </c>
      <c r="B10" s="41" t="n">
        <f aca="false">Assumptions!B14</f>
        <v>2550</v>
      </c>
    </row>
    <row r="11" customFormat="false" ht="15" hidden="false" customHeight="true" outlineLevel="0" collapsed="false">
      <c r="A11" s="6" t="s">
        <v>225</v>
      </c>
      <c r="B11" s="42" t="n">
        <f aca="false">B7-B8-B9+B10</f>
        <v>53450.726875</v>
      </c>
    </row>
    <row r="13" customFormat="false" ht="23.25" hidden="false" customHeight="true" outlineLevel="0" collapsed="false">
      <c r="A13" s="21" t="s">
        <v>226</v>
      </c>
      <c r="B13" s="21" t="s">
        <v>227</v>
      </c>
      <c r="C13" s="21" t="s">
        <v>228</v>
      </c>
      <c r="D13" s="21" t="s">
        <v>229</v>
      </c>
      <c r="E13" s="21" t="s">
        <v>230</v>
      </c>
    </row>
    <row r="14" customFormat="false" ht="15" hidden="false" customHeight="true" outlineLevel="0" collapsed="false">
      <c r="A14" s="4" t="s">
        <v>231</v>
      </c>
      <c r="B14" s="41" t="n">
        <f aca="false">Debt!B15</f>
        <v>40.193</v>
      </c>
      <c r="C14" s="19" t="n">
        <f aca="false">SUM($B$14:B14)</f>
        <v>40.193</v>
      </c>
      <c r="D14" s="19" t="n">
        <f aca="false">MAX(0,MIN(B14,$B$11-(C14-B14)))</f>
        <v>40.193</v>
      </c>
      <c r="E14" s="20" t="n">
        <f aca="false">IF(B14=0,"",D14/B14)</f>
        <v>1</v>
      </c>
    </row>
    <row r="15" customFormat="false" ht="15" hidden="false" customHeight="true" outlineLevel="0" collapsed="false">
      <c r="A15" s="4" t="s">
        <v>232</v>
      </c>
      <c r="B15" s="41" t="n">
        <f aca="false">Debt!B16</f>
        <v>8219.629</v>
      </c>
      <c r="C15" s="19" t="n">
        <f aca="false">SUM($B$14:B15)</f>
        <v>8259.822</v>
      </c>
      <c r="D15" s="19" t="n">
        <f aca="false">MAX(0,MIN(B15,$B$11-(C15-B15)))</f>
        <v>8219.629</v>
      </c>
      <c r="E15" s="20" t="n">
        <f aca="false">IF(B15=0,"",D15/B15)</f>
        <v>1</v>
      </c>
    </row>
    <row r="16" customFormat="false" ht="15" hidden="false" customHeight="true" outlineLevel="0" collapsed="false">
      <c r="A16" s="4" t="s">
        <v>233</v>
      </c>
      <c r="B16" s="41" t="n">
        <f aca="false">Other_Liab!B12</f>
        <v>429.971</v>
      </c>
      <c r="C16" s="19" t="n">
        <f aca="false">SUM($B$14:B16)</f>
        <v>8689.793</v>
      </c>
      <c r="D16" s="19" t="n">
        <f aca="false">MAX(0,MIN(B16,$B$11-(C16-B16)))</f>
        <v>429.971</v>
      </c>
      <c r="E16" s="20" t="n">
        <f aca="false">IF(B16=0,"",D16/B16)</f>
        <v>1</v>
      </c>
    </row>
    <row r="17" customFormat="false" ht="15" hidden="false" customHeight="true" outlineLevel="0" collapsed="false">
      <c r="A17" s="4" t="s">
        <v>234</v>
      </c>
      <c r="B17" s="41" t="n">
        <f aca="false">Preferreds!G4</f>
        <v>1283.9689</v>
      </c>
      <c r="C17" s="19" t="n">
        <f aca="false">SUM($B$14:B17)</f>
        <v>9973.7619</v>
      </c>
      <c r="D17" s="19" t="n">
        <f aca="false">MAX(0,MIN(B17,$B$11-(C17-B17)))</f>
        <v>1283.9689</v>
      </c>
      <c r="E17" s="20" t="n">
        <f aca="false">IF(B17=0,"",D17/B17)</f>
        <v>1</v>
      </c>
    </row>
    <row r="18" customFormat="false" ht="15" hidden="false" customHeight="true" outlineLevel="0" collapsed="false">
      <c r="A18" s="43" t="s">
        <v>235</v>
      </c>
      <c r="B18" s="44" t="n">
        <f aca="false">Preferreds!G5</f>
        <v>10000</v>
      </c>
      <c r="C18" s="45" t="n">
        <f aca="false">SUM($B$14:B18)</f>
        <v>19973.7619</v>
      </c>
      <c r="D18" s="45" t="n">
        <f aca="false">MAX(0,MIN(B18,$B$11-(C18-B18)))</f>
        <v>10000</v>
      </c>
      <c r="E18" s="46" t="n">
        <f aca="false">IF(B18=0,"",D18/B18)</f>
        <v>1</v>
      </c>
    </row>
    <row r="19" customFormat="false" ht="15" hidden="false" customHeight="true" outlineLevel="0" collapsed="false">
      <c r="A19" s="4" t="s">
        <v>236</v>
      </c>
      <c r="B19" s="41" t="n">
        <f aca="false">Preferreds!G6</f>
        <v>899</v>
      </c>
      <c r="C19" s="19" t="n">
        <f aca="false">SUM($B$14:B19)</f>
        <v>20872.7619</v>
      </c>
      <c r="D19" s="19" t="n">
        <f aca="false">MAX(0,MIN(B19,$B$11-(C19-B19)))</f>
        <v>899</v>
      </c>
      <c r="E19" s="20" t="n">
        <f aca="false">IF(B19=0,"",D19/B19)</f>
        <v>1</v>
      </c>
    </row>
    <row r="20" customFormat="false" ht="15" hidden="false" customHeight="true" outlineLevel="0" collapsed="false">
      <c r="A20" s="4" t="s">
        <v>237</v>
      </c>
      <c r="B20" s="41" t="n">
        <f aca="false">Preferreds!G7</f>
        <v>1402.0744</v>
      </c>
      <c r="C20" s="19" t="n">
        <f aca="false">SUM($B$14:B20)</f>
        <v>22274.8363</v>
      </c>
      <c r="D20" s="19" t="n">
        <f aca="false">MAX(0,MIN(B20,$B$11-(C20-B20)))</f>
        <v>1402.0744</v>
      </c>
      <c r="E20" s="20" t="n">
        <f aca="false">IF(B20=0,"",D20/B20)</f>
        <v>1</v>
      </c>
    </row>
    <row r="21" customFormat="false" ht="15" hidden="false" customHeight="true" outlineLevel="0" collapsed="false">
      <c r="A21" s="4" t="s">
        <v>238</v>
      </c>
      <c r="B21" s="41" t="n">
        <f aca="false">Preferreds!G8</f>
        <v>1402.4221</v>
      </c>
      <c r="C21" s="19" t="n">
        <f aca="false">SUM($B$14:B21)</f>
        <v>23677.2584</v>
      </c>
      <c r="D21" s="19" t="n">
        <f aca="false">MAX(0,MIN(B21,$B$11-(C21-B21)))</f>
        <v>1402.4221</v>
      </c>
      <c r="E21" s="20" t="n">
        <f aca="false">IF(B21=0,"",D21/B21)</f>
        <v>1</v>
      </c>
    </row>
    <row r="22" customFormat="false" ht="15" hidden="false" customHeight="true" outlineLevel="0" collapsed="false">
      <c r="A22" s="6" t="s">
        <v>239</v>
      </c>
      <c r="B22" s="38" t="n">
        <f aca="false">SUM(B14:B21)</f>
        <v>23677.2584</v>
      </c>
      <c r="D22" s="38" t="n">
        <f aca="false">SUM(D14:D21)</f>
        <v>23677.2584</v>
      </c>
    </row>
    <row r="23" customFormat="false" ht="15" hidden="false" customHeight="true" outlineLevel="0" collapsed="false">
      <c r="A23" s="6" t="s">
        <v>240</v>
      </c>
      <c r="D23" s="47" t="n">
        <f aca="false">MAX(0,B11-B22)</f>
        <v>29773.468475</v>
      </c>
      <c r="E23" s="48" t="s">
        <v>241</v>
      </c>
    </row>
    <row r="25" customFormat="false" ht="15" hidden="false" customHeight="true" outlineLevel="0" collapsed="false">
      <c r="A25" s="7" t="s">
        <v>242</v>
      </c>
      <c r="B25" s="8"/>
      <c r="C25" s="8"/>
      <c r="D25" s="8"/>
      <c r="E25" s="8"/>
    </row>
    <row r="26" customFormat="false" ht="15" hidden="false" customHeight="true" outlineLevel="0" collapsed="false">
      <c r="A26" s="6" t="s">
        <v>243</v>
      </c>
      <c r="B26" s="45" t="n">
        <f aca="false">B18</f>
        <v>10000</v>
      </c>
    </row>
    <row r="27" customFormat="false" ht="15" hidden="false" customHeight="true" outlineLevel="0" collapsed="false">
      <c r="A27" s="6" t="s">
        <v>244</v>
      </c>
      <c r="B27" s="45" t="n">
        <f aca="false">D18</f>
        <v>10000</v>
      </c>
    </row>
    <row r="28" customFormat="false" ht="15" hidden="false" customHeight="true" outlineLevel="0" collapsed="false">
      <c r="A28" s="6" t="s">
        <v>245</v>
      </c>
      <c r="B28" s="46" t="n">
        <f aca="false">E18</f>
        <v>1</v>
      </c>
    </row>
    <row r="29" customFormat="false" ht="15" hidden="false" customHeight="true" outlineLevel="0" collapsed="false">
      <c r="A29" s="6" t="s">
        <v>246</v>
      </c>
      <c r="B29" s="49" t="n">
        <f aca="false">E18*100</f>
        <v>100</v>
      </c>
    </row>
    <row r="30" customFormat="false" ht="15" hidden="false" customHeight="true" outlineLevel="0" collapsed="false">
      <c r="A30" s="6" t="s">
        <v>247</v>
      </c>
      <c r="B30" s="49" t="n">
        <f aca="false">Preferreds!O5</f>
        <v>87.87</v>
      </c>
    </row>
    <row r="31" customFormat="false" ht="15" hidden="false" customHeight="true" outlineLevel="0" collapsed="false">
      <c r="A31" s="6" t="s">
        <v>248</v>
      </c>
      <c r="B31" s="46" t="n">
        <f aca="false">B29/B30-1</f>
        <v>0.138044838966655</v>
      </c>
    </row>
    <row r="32" customFormat="false" ht="15" hidden="false" customHeight="true" outlineLevel="0" collapsed="false">
      <c r="A32" s="6" t="s">
        <v>249</v>
      </c>
      <c r="B32" s="50" t="n">
        <f aca="false">(B11-C17)/B18</f>
        <v>4.3476964975</v>
      </c>
    </row>
    <row r="33" customFormat="false" ht="15" hidden="false" customHeight="true" outlineLevel="0" collapsed="false">
      <c r="A33" s="6" t="s">
        <v>250</v>
      </c>
      <c r="B33" s="51" t="n">
        <f aca="false">IF(Assumptions!B20=1,(C18+Assumptions!B19-Assumptions!B14)*1000000/(Assumptions!B6*Assumptions!B17),(C18-Assumptions!B14)*1000000/(Assumptions!B6*(Assumptions!B17-Assumptions!B18)))</f>
        <v>21736.6027673254</v>
      </c>
    </row>
    <row r="34" customFormat="false" ht="15" hidden="false" customHeight="true" outlineLevel="0" collapsed="false">
      <c r="A34" s="6" t="s">
        <v>251</v>
      </c>
      <c r="B34" s="46" t="n">
        <f aca="false">1-B33/Assumptions!B5</f>
        <v>0.65769129500275</v>
      </c>
    </row>
    <row r="36" customFormat="false" ht="15" hidden="false" customHeight="true" outlineLevel="0" collapsed="false">
      <c r="A36" s="10" t="s">
        <v>252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69D64"/>
    <pageSetUpPr fitToPage="false"/>
  </sheetPr>
  <dimension ref="A1:S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11"/>
    <col collapsed="false" customWidth="true" hidden="false" outlineLevel="0" max="19" min="3" style="1" width="12"/>
  </cols>
  <sheetData>
    <row r="1" customFormat="false" ht="17.25" hidden="false" customHeight="true" outlineLevel="0" collapsed="false">
      <c r="A1" s="2" t="s">
        <v>253</v>
      </c>
    </row>
    <row r="2" customFormat="false" ht="15" hidden="false" customHeight="true" outlineLevel="0" collapsed="false">
      <c r="A2" s="3" t="s">
        <v>254</v>
      </c>
    </row>
    <row r="5" customFormat="false" ht="23.25" hidden="false" customHeight="true" outlineLevel="0" collapsed="false">
      <c r="A5" s="21" t="s">
        <v>255</v>
      </c>
      <c r="B5" s="21" t="s">
        <v>256</v>
      </c>
      <c r="C5" s="21" t="s">
        <v>257</v>
      </c>
      <c r="D5" s="21" t="s">
        <v>258</v>
      </c>
      <c r="E5" s="21" t="s">
        <v>259</v>
      </c>
      <c r="F5" s="21" t="s">
        <v>260</v>
      </c>
      <c r="G5" s="21" t="s">
        <v>261</v>
      </c>
      <c r="H5" s="21" t="s">
        <v>262</v>
      </c>
      <c r="I5" s="21" t="s">
        <v>263</v>
      </c>
      <c r="J5" s="21" t="s">
        <v>264</v>
      </c>
      <c r="K5" s="21" t="s">
        <v>244</v>
      </c>
      <c r="L5" s="21" t="s">
        <v>245</v>
      </c>
      <c r="M5" s="21" t="s">
        <v>265</v>
      </c>
      <c r="N5" s="21" t="s">
        <v>266</v>
      </c>
      <c r="O5" s="21" t="s">
        <v>267</v>
      </c>
      <c r="P5" s="21" t="s">
        <v>268</v>
      </c>
      <c r="Q5" s="21" t="s">
        <v>269</v>
      </c>
      <c r="R5" s="21" t="s">
        <v>270</v>
      </c>
      <c r="S5" s="21" t="s">
        <v>271</v>
      </c>
    </row>
    <row r="6" customFormat="false" ht="15" hidden="false" customHeight="true" outlineLevel="0" collapsed="false">
      <c r="A6" s="4" t="s">
        <v>272</v>
      </c>
      <c r="B6" s="31" t="n">
        <v>20000</v>
      </c>
      <c r="C6" s="19" t="n">
        <f aca="false">Assumptions!$B$6*B6/1000000</f>
        <v>16875.5</v>
      </c>
      <c r="D6" s="19" t="n">
        <f aca="false">C6*Assumptions!$B$17</f>
        <v>16875.5</v>
      </c>
      <c r="E6" s="19" t="n">
        <f aca="false">IF(Assumptions!$B$20=1,Assumptions!$B$19,Assumptions!$B$18*C6)</f>
        <v>843.775</v>
      </c>
      <c r="F6" s="19" t="n">
        <f aca="false">Assumptions!$B$21*Assumptions!$B$22*MAX(0,D6-Assumptions!$B$7)</f>
        <v>0</v>
      </c>
      <c r="G6" s="19" t="n">
        <f aca="false">D6-E6-F6+Assumptions!$B$14</f>
        <v>18581.725</v>
      </c>
      <c r="H6" s="20" t="n">
        <f aca="false">MAX(0,MIN(1,G6/Waterfall!$C$15))</f>
        <v>1</v>
      </c>
      <c r="I6" s="20" t="n">
        <f aca="false">MAX(0,MIN(1,(G6-Waterfall!$C$15)/Waterfall!$B$16))</f>
        <v>1</v>
      </c>
      <c r="J6" s="20" t="n">
        <f aca="false">MAX(0,MIN(1,(G6-Waterfall!$C$16)/Waterfall!$B$17))</f>
        <v>1</v>
      </c>
      <c r="K6" s="19" t="n">
        <f aca="false">MAX(0,MIN(Waterfall!$B$18,G6-Waterfall!$C$17))</f>
        <v>8607.9631</v>
      </c>
      <c r="L6" s="20" t="n">
        <f aca="false">K6/Waterfall!$B$18</f>
        <v>0.86079631</v>
      </c>
      <c r="M6" s="52" t="n">
        <f aca="false">L6*100</f>
        <v>86.079631</v>
      </c>
      <c r="N6" s="20" t="n">
        <f aca="false">M6/Preferreds!$O$5-1</f>
        <v>-0.0203752020029591</v>
      </c>
      <c r="O6" s="53" t="n">
        <f aca="false">MAX(0,G6-Waterfall!$C$17)/Waterfall!$B$18</f>
        <v>0.86079631</v>
      </c>
      <c r="P6" s="20" t="n">
        <f aca="false">MAX(0,MIN(1,(G6-Waterfall!$C$18)/Waterfall!$B$19))</f>
        <v>0</v>
      </c>
      <c r="Q6" s="20" t="n">
        <f aca="false">MAX(0,MIN(1,(G6-Waterfall!$C$19)/Waterfall!$B$20))</f>
        <v>0</v>
      </c>
      <c r="R6" s="20" t="n">
        <f aca="false">MAX(0,MIN(1,(G6-Waterfall!$C$20)/Waterfall!$B$21))</f>
        <v>0</v>
      </c>
      <c r="S6" s="19" t="n">
        <f aca="false">MAX(0,G6-Waterfall!$C$21)</f>
        <v>0</v>
      </c>
    </row>
    <row r="7" customFormat="false" ht="15" hidden="false" customHeight="true" outlineLevel="0" collapsed="false">
      <c r="A7" s="4" t="s">
        <v>273</v>
      </c>
      <c r="B7" s="31" t="n">
        <v>25000</v>
      </c>
      <c r="C7" s="19" t="n">
        <f aca="false">Assumptions!$B$6*B7/1000000</f>
        <v>21094.375</v>
      </c>
      <c r="D7" s="19" t="n">
        <f aca="false">C7*Assumptions!$B$17</f>
        <v>21094.375</v>
      </c>
      <c r="E7" s="19" t="n">
        <f aca="false">IF(Assumptions!$B$20=1,Assumptions!$B$19,Assumptions!$B$18*C7)</f>
        <v>1054.71875</v>
      </c>
      <c r="F7" s="19" t="n">
        <f aca="false">Assumptions!$B$21*Assumptions!$B$22*MAX(0,D7-Assumptions!$B$7)</f>
        <v>0</v>
      </c>
      <c r="G7" s="19" t="n">
        <f aca="false">D7-E7-F7+Assumptions!$B$14</f>
        <v>22589.65625</v>
      </c>
      <c r="H7" s="20" t="n">
        <f aca="false">MAX(0,MIN(1,G7/Waterfall!$C$15))</f>
        <v>1</v>
      </c>
      <c r="I7" s="20" t="n">
        <f aca="false">MAX(0,MIN(1,(G7-Waterfall!$C$15)/Waterfall!$B$16))</f>
        <v>1</v>
      </c>
      <c r="J7" s="20" t="n">
        <f aca="false">MAX(0,MIN(1,(G7-Waterfall!$C$16)/Waterfall!$B$17))</f>
        <v>1</v>
      </c>
      <c r="K7" s="19" t="n">
        <f aca="false">MAX(0,MIN(Waterfall!$B$18,G7-Waterfall!$C$17))</f>
        <v>10000</v>
      </c>
      <c r="L7" s="20" t="n">
        <f aca="false">K7/Waterfall!$B$18</f>
        <v>1</v>
      </c>
      <c r="M7" s="52" t="n">
        <f aca="false">L7*100</f>
        <v>100</v>
      </c>
      <c r="N7" s="20" t="n">
        <f aca="false">M7/Preferreds!$O$5-1</f>
        <v>0.138044838966655</v>
      </c>
      <c r="O7" s="53" t="n">
        <f aca="false">MAX(0,G7-Waterfall!$C$17)/Waterfall!$B$18</f>
        <v>1.261589435</v>
      </c>
      <c r="P7" s="20" t="n">
        <f aca="false">MAX(0,MIN(1,(G7-Waterfall!$C$18)/Waterfall!$B$19))</f>
        <v>1</v>
      </c>
      <c r="Q7" s="20" t="n">
        <f aca="false">MAX(0,MIN(1,(G7-Waterfall!$C$19)/Waterfall!$B$20))</f>
        <v>1</v>
      </c>
      <c r="R7" s="20" t="n">
        <f aca="false">MAX(0,MIN(1,(G7-Waterfall!$C$20)/Waterfall!$B$21))</f>
        <v>0.224483021195973</v>
      </c>
      <c r="S7" s="19" t="n">
        <f aca="false">MAX(0,G7-Waterfall!$C$21)</f>
        <v>0</v>
      </c>
    </row>
    <row r="8" customFormat="false" ht="15" hidden="false" customHeight="true" outlineLevel="0" collapsed="false">
      <c r="A8" s="4" t="s">
        <v>274</v>
      </c>
      <c r="B8" s="31" t="n">
        <v>30000</v>
      </c>
      <c r="C8" s="19" t="n">
        <f aca="false">Assumptions!$B$6*B8/1000000</f>
        <v>25313.25</v>
      </c>
      <c r="D8" s="19" t="n">
        <f aca="false">C8*Assumptions!$B$17</f>
        <v>25313.25</v>
      </c>
      <c r="E8" s="19" t="n">
        <f aca="false">IF(Assumptions!$B$20=1,Assumptions!$B$19,Assumptions!$B$18*C8)</f>
        <v>1265.6625</v>
      </c>
      <c r="F8" s="19" t="n">
        <f aca="false">Assumptions!$B$21*Assumptions!$B$22*MAX(0,D8-Assumptions!$B$7)</f>
        <v>0</v>
      </c>
      <c r="G8" s="19" t="n">
        <f aca="false">D8-E8-F8+Assumptions!$B$14</f>
        <v>26597.5875</v>
      </c>
      <c r="H8" s="20" t="n">
        <f aca="false">MAX(0,MIN(1,G8/Waterfall!$C$15))</f>
        <v>1</v>
      </c>
      <c r="I8" s="20" t="n">
        <f aca="false">MAX(0,MIN(1,(G8-Waterfall!$C$15)/Waterfall!$B$16))</f>
        <v>1</v>
      </c>
      <c r="J8" s="20" t="n">
        <f aca="false">MAX(0,MIN(1,(G8-Waterfall!$C$16)/Waterfall!$B$17))</f>
        <v>1</v>
      </c>
      <c r="K8" s="19" t="n">
        <f aca="false">MAX(0,MIN(Waterfall!$B$18,G8-Waterfall!$C$17))</f>
        <v>10000</v>
      </c>
      <c r="L8" s="20" t="n">
        <f aca="false">K8/Waterfall!$B$18</f>
        <v>1</v>
      </c>
      <c r="M8" s="52" t="n">
        <f aca="false">L8*100</f>
        <v>100</v>
      </c>
      <c r="N8" s="20" t="n">
        <f aca="false">M8/Preferreds!$O$5-1</f>
        <v>0.138044838966655</v>
      </c>
      <c r="O8" s="53" t="n">
        <f aca="false">MAX(0,G8-Waterfall!$C$17)/Waterfall!$B$18</f>
        <v>1.66238256</v>
      </c>
      <c r="P8" s="20" t="n">
        <f aca="false">MAX(0,MIN(1,(G8-Waterfall!$C$18)/Waterfall!$B$19))</f>
        <v>1</v>
      </c>
      <c r="Q8" s="20" t="n">
        <f aca="false">MAX(0,MIN(1,(G8-Waterfall!$C$19)/Waterfall!$B$20))</f>
        <v>1</v>
      </c>
      <c r="R8" s="20" t="n">
        <f aca="false">MAX(0,MIN(1,(G8-Waterfall!$C$20)/Waterfall!$B$21))</f>
        <v>1</v>
      </c>
      <c r="S8" s="19" t="n">
        <f aca="false">MAX(0,G8-Waterfall!$C$21)</f>
        <v>2920.3291</v>
      </c>
    </row>
    <row r="9" customFormat="false" ht="15" hidden="false" customHeight="true" outlineLevel="0" collapsed="false">
      <c r="A9" s="4" t="s">
        <v>275</v>
      </c>
      <c r="B9" s="31" t="n">
        <v>35000</v>
      </c>
      <c r="C9" s="19" t="n">
        <f aca="false">Assumptions!$B$6*B9/1000000</f>
        <v>29532.125</v>
      </c>
      <c r="D9" s="19" t="n">
        <f aca="false">C9*Assumptions!$B$17</f>
        <v>29532.125</v>
      </c>
      <c r="E9" s="19" t="n">
        <f aca="false">IF(Assumptions!$B$20=1,Assumptions!$B$19,Assumptions!$B$18*C9)</f>
        <v>1476.60625</v>
      </c>
      <c r="F9" s="19" t="n">
        <f aca="false">Assumptions!$B$21*Assumptions!$B$22*MAX(0,D9-Assumptions!$B$7)</f>
        <v>0</v>
      </c>
      <c r="G9" s="19" t="n">
        <f aca="false">D9-E9-F9+Assumptions!$B$14</f>
        <v>30605.51875</v>
      </c>
      <c r="H9" s="20" t="n">
        <f aca="false">MAX(0,MIN(1,G9/Waterfall!$C$15))</f>
        <v>1</v>
      </c>
      <c r="I9" s="20" t="n">
        <f aca="false">MAX(0,MIN(1,(G9-Waterfall!$C$15)/Waterfall!$B$16))</f>
        <v>1</v>
      </c>
      <c r="J9" s="20" t="n">
        <f aca="false">MAX(0,MIN(1,(G9-Waterfall!$C$16)/Waterfall!$B$17))</f>
        <v>1</v>
      </c>
      <c r="K9" s="19" t="n">
        <f aca="false">MAX(0,MIN(Waterfall!$B$18,G9-Waterfall!$C$17))</f>
        <v>10000</v>
      </c>
      <c r="L9" s="20" t="n">
        <f aca="false">K9/Waterfall!$B$18</f>
        <v>1</v>
      </c>
      <c r="M9" s="52" t="n">
        <f aca="false">L9*100</f>
        <v>100</v>
      </c>
      <c r="N9" s="20" t="n">
        <f aca="false">M9/Preferreds!$O$5-1</f>
        <v>0.138044838966655</v>
      </c>
      <c r="O9" s="53" t="n">
        <f aca="false">MAX(0,G9-Waterfall!$C$17)/Waterfall!$B$18</f>
        <v>2.063175685</v>
      </c>
      <c r="P9" s="20" t="n">
        <f aca="false">MAX(0,MIN(1,(G9-Waterfall!$C$18)/Waterfall!$B$19))</f>
        <v>1</v>
      </c>
      <c r="Q9" s="20" t="n">
        <f aca="false">MAX(0,MIN(1,(G9-Waterfall!$C$19)/Waterfall!$B$20))</f>
        <v>1</v>
      </c>
      <c r="R9" s="20" t="n">
        <f aca="false">MAX(0,MIN(1,(G9-Waterfall!$C$20)/Waterfall!$B$21))</f>
        <v>1</v>
      </c>
      <c r="S9" s="19" t="n">
        <f aca="false">MAX(0,G9-Waterfall!$C$21)</f>
        <v>6928.26035</v>
      </c>
    </row>
    <row r="10" customFormat="false" ht="15" hidden="false" customHeight="true" outlineLevel="0" collapsed="false">
      <c r="A10" s="4" t="s">
        <v>276</v>
      </c>
      <c r="B10" s="31" t="n">
        <v>40000</v>
      </c>
      <c r="C10" s="19" t="n">
        <f aca="false">Assumptions!$B$6*B10/1000000</f>
        <v>33751</v>
      </c>
      <c r="D10" s="19" t="n">
        <f aca="false">C10*Assumptions!$B$17</f>
        <v>33751</v>
      </c>
      <c r="E10" s="19" t="n">
        <f aca="false">IF(Assumptions!$B$20=1,Assumptions!$B$19,Assumptions!$B$18*C10)</f>
        <v>1687.55</v>
      </c>
      <c r="F10" s="19" t="n">
        <f aca="false">Assumptions!$B$21*Assumptions!$B$22*MAX(0,D10-Assumptions!$B$7)</f>
        <v>0</v>
      </c>
      <c r="G10" s="19" t="n">
        <f aca="false">D10-E10-F10+Assumptions!$B$14</f>
        <v>34613.45</v>
      </c>
      <c r="H10" s="20" t="n">
        <f aca="false">MAX(0,MIN(1,G10/Waterfall!$C$15))</f>
        <v>1</v>
      </c>
      <c r="I10" s="20" t="n">
        <f aca="false">MAX(0,MIN(1,(G10-Waterfall!$C$15)/Waterfall!$B$16))</f>
        <v>1</v>
      </c>
      <c r="J10" s="20" t="n">
        <f aca="false">MAX(0,MIN(1,(G10-Waterfall!$C$16)/Waterfall!$B$17))</f>
        <v>1</v>
      </c>
      <c r="K10" s="19" t="n">
        <f aca="false">MAX(0,MIN(Waterfall!$B$18,G10-Waterfall!$C$17))</f>
        <v>10000</v>
      </c>
      <c r="L10" s="20" t="n">
        <f aca="false">K10/Waterfall!$B$18</f>
        <v>1</v>
      </c>
      <c r="M10" s="52" t="n">
        <f aca="false">L10*100</f>
        <v>100</v>
      </c>
      <c r="N10" s="20" t="n">
        <f aca="false">M10/Preferreds!$O$5-1</f>
        <v>0.138044838966655</v>
      </c>
      <c r="O10" s="53" t="n">
        <f aca="false">MAX(0,G10-Waterfall!$C$17)/Waterfall!$B$18</f>
        <v>2.46396881</v>
      </c>
      <c r="P10" s="20" t="n">
        <f aca="false">MAX(0,MIN(1,(G10-Waterfall!$C$18)/Waterfall!$B$19))</f>
        <v>1</v>
      </c>
      <c r="Q10" s="20" t="n">
        <f aca="false">MAX(0,MIN(1,(G10-Waterfall!$C$19)/Waterfall!$B$20))</f>
        <v>1</v>
      </c>
      <c r="R10" s="20" t="n">
        <f aca="false">MAX(0,MIN(1,(G10-Waterfall!$C$20)/Waterfall!$B$21))</f>
        <v>1</v>
      </c>
      <c r="S10" s="19" t="n">
        <f aca="false">MAX(0,G10-Waterfall!$C$21)</f>
        <v>10936.1916</v>
      </c>
    </row>
    <row r="11" customFormat="false" ht="15" hidden="false" customHeight="true" outlineLevel="0" collapsed="false">
      <c r="A11" s="4" t="s">
        <v>277</v>
      </c>
      <c r="B11" s="31" t="n">
        <v>45000</v>
      </c>
      <c r="C11" s="19" t="n">
        <f aca="false">Assumptions!$B$6*B11/1000000</f>
        <v>37969.875</v>
      </c>
      <c r="D11" s="19" t="n">
        <f aca="false">C11*Assumptions!$B$17</f>
        <v>37969.875</v>
      </c>
      <c r="E11" s="19" t="n">
        <f aca="false">IF(Assumptions!$B$20=1,Assumptions!$B$19,Assumptions!$B$18*C11)</f>
        <v>1898.49375</v>
      </c>
      <c r="F11" s="19" t="n">
        <f aca="false">Assumptions!$B$21*Assumptions!$B$22*MAX(0,D11-Assumptions!$B$7)</f>
        <v>0</v>
      </c>
      <c r="G11" s="19" t="n">
        <f aca="false">D11-E11-F11+Assumptions!$B$14</f>
        <v>38621.38125</v>
      </c>
      <c r="H11" s="20" t="n">
        <f aca="false">MAX(0,MIN(1,G11/Waterfall!$C$15))</f>
        <v>1</v>
      </c>
      <c r="I11" s="20" t="n">
        <f aca="false">MAX(0,MIN(1,(G11-Waterfall!$C$15)/Waterfall!$B$16))</f>
        <v>1</v>
      </c>
      <c r="J11" s="20" t="n">
        <f aca="false">MAX(0,MIN(1,(G11-Waterfall!$C$16)/Waterfall!$B$17))</f>
        <v>1</v>
      </c>
      <c r="K11" s="19" t="n">
        <f aca="false">MAX(0,MIN(Waterfall!$B$18,G11-Waterfall!$C$17))</f>
        <v>10000</v>
      </c>
      <c r="L11" s="20" t="n">
        <f aca="false">K11/Waterfall!$B$18</f>
        <v>1</v>
      </c>
      <c r="M11" s="52" t="n">
        <f aca="false">L11*100</f>
        <v>100</v>
      </c>
      <c r="N11" s="20" t="n">
        <f aca="false">M11/Preferreds!$O$5-1</f>
        <v>0.138044838966655</v>
      </c>
      <c r="O11" s="53" t="n">
        <f aca="false">MAX(0,G11-Waterfall!$C$17)/Waterfall!$B$18</f>
        <v>2.864761935</v>
      </c>
      <c r="P11" s="20" t="n">
        <f aca="false">MAX(0,MIN(1,(G11-Waterfall!$C$18)/Waterfall!$B$19))</f>
        <v>1</v>
      </c>
      <c r="Q11" s="20" t="n">
        <f aca="false">MAX(0,MIN(1,(G11-Waterfall!$C$19)/Waterfall!$B$20))</f>
        <v>1</v>
      </c>
      <c r="R11" s="20" t="n">
        <f aca="false">MAX(0,MIN(1,(G11-Waterfall!$C$20)/Waterfall!$B$21))</f>
        <v>1</v>
      </c>
      <c r="S11" s="19" t="n">
        <f aca="false">MAX(0,G11-Waterfall!$C$21)</f>
        <v>14944.12285</v>
      </c>
    </row>
    <row r="12" customFormat="false" ht="15" hidden="false" customHeight="true" outlineLevel="0" collapsed="false">
      <c r="A12" s="4" t="s">
        <v>278</v>
      </c>
      <c r="B12" s="31" t="n">
        <v>50000</v>
      </c>
      <c r="C12" s="19" t="n">
        <f aca="false">Assumptions!$B$6*B12/1000000</f>
        <v>42188.75</v>
      </c>
      <c r="D12" s="19" t="n">
        <f aca="false">C12*Assumptions!$B$17</f>
        <v>42188.75</v>
      </c>
      <c r="E12" s="19" t="n">
        <f aca="false">IF(Assumptions!$B$20=1,Assumptions!$B$19,Assumptions!$B$18*C12)</f>
        <v>2109.4375</v>
      </c>
      <c r="F12" s="19" t="n">
        <f aca="false">Assumptions!$B$21*Assumptions!$B$22*MAX(0,D12-Assumptions!$B$7)</f>
        <v>0</v>
      </c>
      <c r="G12" s="19" t="n">
        <f aca="false">D12-E12-F12+Assumptions!$B$14</f>
        <v>42629.3125</v>
      </c>
      <c r="H12" s="20" t="n">
        <f aca="false">MAX(0,MIN(1,G12/Waterfall!$C$15))</f>
        <v>1</v>
      </c>
      <c r="I12" s="20" t="n">
        <f aca="false">MAX(0,MIN(1,(G12-Waterfall!$C$15)/Waterfall!$B$16))</f>
        <v>1</v>
      </c>
      <c r="J12" s="20" t="n">
        <f aca="false">MAX(0,MIN(1,(G12-Waterfall!$C$16)/Waterfall!$B$17))</f>
        <v>1</v>
      </c>
      <c r="K12" s="19" t="n">
        <f aca="false">MAX(0,MIN(Waterfall!$B$18,G12-Waterfall!$C$17))</f>
        <v>10000</v>
      </c>
      <c r="L12" s="20" t="n">
        <f aca="false">K12/Waterfall!$B$18</f>
        <v>1</v>
      </c>
      <c r="M12" s="52" t="n">
        <f aca="false">L12*100</f>
        <v>100</v>
      </c>
      <c r="N12" s="20" t="n">
        <f aca="false">M12/Preferreds!$O$5-1</f>
        <v>0.138044838966655</v>
      </c>
      <c r="O12" s="53" t="n">
        <f aca="false">MAX(0,G12-Waterfall!$C$17)/Waterfall!$B$18</f>
        <v>3.26555506</v>
      </c>
      <c r="P12" s="20" t="n">
        <f aca="false">MAX(0,MIN(1,(G12-Waterfall!$C$18)/Waterfall!$B$19))</f>
        <v>1</v>
      </c>
      <c r="Q12" s="20" t="n">
        <f aca="false">MAX(0,MIN(1,(G12-Waterfall!$C$19)/Waterfall!$B$20))</f>
        <v>1</v>
      </c>
      <c r="R12" s="20" t="n">
        <f aca="false">MAX(0,MIN(1,(G12-Waterfall!$C$20)/Waterfall!$B$21))</f>
        <v>1</v>
      </c>
      <c r="S12" s="19" t="n">
        <f aca="false">MAX(0,G12-Waterfall!$C$21)</f>
        <v>18952.0541</v>
      </c>
    </row>
    <row r="13" customFormat="false" ht="15" hidden="false" customHeight="true" outlineLevel="0" collapsed="false">
      <c r="A13" s="4" t="s">
        <v>279</v>
      </c>
      <c r="B13" s="31" t="n">
        <v>55000</v>
      </c>
      <c r="C13" s="19" t="n">
        <f aca="false">Assumptions!$B$6*B13/1000000</f>
        <v>46407.625</v>
      </c>
      <c r="D13" s="19" t="n">
        <f aca="false">C13*Assumptions!$B$17</f>
        <v>46407.625</v>
      </c>
      <c r="E13" s="19" t="n">
        <f aca="false">IF(Assumptions!$B$20=1,Assumptions!$B$19,Assumptions!$B$18*C13)</f>
        <v>2320.38125</v>
      </c>
      <c r="F13" s="19" t="n">
        <f aca="false">Assumptions!$B$21*Assumptions!$B$22*MAX(0,D13-Assumptions!$B$7)</f>
        <v>0</v>
      </c>
      <c r="G13" s="19" t="n">
        <f aca="false">D13-E13-F13+Assumptions!$B$14</f>
        <v>46637.24375</v>
      </c>
      <c r="H13" s="20" t="n">
        <f aca="false">MAX(0,MIN(1,G13/Waterfall!$C$15))</f>
        <v>1</v>
      </c>
      <c r="I13" s="20" t="n">
        <f aca="false">MAX(0,MIN(1,(G13-Waterfall!$C$15)/Waterfall!$B$16))</f>
        <v>1</v>
      </c>
      <c r="J13" s="20" t="n">
        <f aca="false">MAX(0,MIN(1,(G13-Waterfall!$C$16)/Waterfall!$B$17))</f>
        <v>1</v>
      </c>
      <c r="K13" s="19" t="n">
        <f aca="false">MAX(0,MIN(Waterfall!$B$18,G13-Waterfall!$C$17))</f>
        <v>10000</v>
      </c>
      <c r="L13" s="20" t="n">
        <f aca="false">K13/Waterfall!$B$18</f>
        <v>1</v>
      </c>
      <c r="M13" s="52" t="n">
        <f aca="false">L13*100</f>
        <v>100</v>
      </c>
      <c r="N13" s="20" t="n">
        <f aca="false">M13/Preferreds!$O$5-1</f>
        <v>0.138044838966655</v>
      </c>
      <c r="O13" s="53" t="n">
        <f aca="false">MAX(0,G13-Waterfall!$C$17)/Waterfall!$B$18</f>
        <v>3.666348185</v>
      </c>
      <c r="P13" s="20" t="n">
        <f aca="false">MAX(0,MIN(1,(G13-Waterfall!$C$18)/Waterfall!$B$19))</f>
        <v>1</v>
      </c>
      <c r="Q13" s="20" t="n">
        <f aca="false">MAX(0,MIN(1,(G13-Waterfall!$C$19)/Waterfall!$B$20))</f>
        <v>1</v>
      </c>
      <c r="R13" s="20" t="n">
        <f aca="false">MAX(0,MIN(1,(G13-Waterfall!$C$20)/Waterfall!$B$21))</f>
        <v>1</v>
      </c>
      <c r="S13" s="19" t="n">
        <f aca="false">MAX(0,G13-Waterfall!$C$21)</f>
        <v>22959.98535</v>
      </c>
    </row>
    <row r="14" customFormat="false" ht="15" hidden="false" customHeight="true" outlineLevel="0" collapsed="false">
      <c r="A14" s="4" t="s">
        <v>280</v>
      </c>
      <c r="B14" s="31" t="n">
        <v>60000</v>
      </c>
      <c r="C14" s="19" t="n">
        <f aca="false">Assumptions!$B$6*B14/1000000</f>
        <v>50626.5</v>
      </c>
      <c r="D14" s="19" t="n">
        <f aca="false">C14*Assumptions!$B$17</f>
        <v>50626.5</v>
      </c>
      <c r="E14" s="19" t="n">
        <f aca="false">IF(Assumptions!$B$20=1,Assumptions!$B$19,Assumptions!$B$18*C14)</f>
        <v>2531.325</v>
      </c>
      <c r="F14" s="19" t="n">
        <f aca="false">Assumptions!$B$21*Assumptions!$B$22*MAX(0,D14-Assumptions!$B$7)</f>
        <v>0</v>
      </c>
      <c r="G14" s="19" t="n">
        <f aca="false">D14-E14-F14+Assumptions!$B$14</f>
        <v>50645.175</v>
      </c>
      <c r="H14" s="20" t="n">
        <f aca="false">MAX(0,MIN(1,G14/Waterfall!$C$15))</f>
        <v>1</v>
      </c>
      <c r="I14" s="20" t="n">
        <f aca="false">MAX(0,MIN(1,(G14-Waterfall!$C$15)/Waterfall!$B$16))</f>
        <v>1</v>
      </c>
      <c r="J14" s="20" t="n">
        <f aca="false">MAX(0,MIN(1,(G14-Waterfall!$C$16)/Waterfall!$B$17))</f>
        <v>1</v>
      </c>
      <c r="K14" s="19" t="n">
        <f aca="false">MAX(0,MIN(Waterfall!$B$18,G14-Waterfall!$C$17))</f>
        <v>10000</v>
      </c>
      <c r="L14" s="20" t="n">
        <f aca="false">K14/Waterfall!$B$18</f>
        <v>1</v>
      </c>
      <c r="M14" s="52" t="n">
        <f aca="false">L14*100</f>
        <v>100</v>
      </c>
      <c r="N14" s="20" t="n">
        <f aca="false">M14/Preferreds!$O$5-1</f>
        <v>0.138044838966655</v>
      </c>
      <c r="O14" s="53" t="n">
        <f aca="false">MAX(0,G14-Waterfall!$C$17)/Waterfall!$B$18</f>
        <v>4.06714131</v>
      </c>
      <c r="P14" s="20" t="n">
        <f aca="false">MAX(0,MIN(1,(G14-Waterfall!$C$18)/Waterfall!$B$19))</f>
        <v>1</v>
      </c>
      <c r="Q14" s="20" t="n">
        <f aca="false">MAX(0,MIN(1,(G14-Waterfall!$C$19)/Waterfall!$B$20))</f>
        <v>1</v>
      </c>
      <c r="R14" s="20" t="n">
        <f aca="false">MAX(0,MIN(1,(G14-Waterfall!$C$20)/Waterfall!$B$21))</f>
        <v>1</v>
      </c>
      <c r="S14" s="19" t="n">
        <f aca="false">MAX(0,G14-Waterfall!$C$21)</f>
        <v>26967.9166</v>
      </c>
    </row>
    <row r="15" customFormat="false" ht="15" hidden="false" customHeight="true" outlineLevel="0" collapsed="false">
      <c r="A15" s="4" t="s">
        <v>281</v>
      </c>
      <c r="B15" s="31" t="n">
        <v>65000</v>
      </c>
      <c r="C15" s="19" t="n">
        <f aca="false">Assumptions!$B$6*B15/1000000</f>
        <v>54845.375</v>
      </c>
      <c r="D15" s="19" t="n">
        <f aca="false">C15*Assumptions!$B$17</f>
        <v>54845.375</v>
      </c>
      <c r="E15" s="19" t="n">
        <f aca="false">IF(Assumptions!$B$20=1,Assumptions!$B$19,Assumptions!$B$18*C15)</f>
        <v>2742.26875</v>
      </c>
      <c r="F15" s="19" t="n">
        <f aca="false">Assumptions!$B$21*Assumptions!$B$22*MAX(0,D15-Assumptions!$B$7)</f>
        <v>0</v>
      </c>
      <c r="G15" s="19" t="n">
        <f aca="false">D15-E15-F15+Assumptions!$B$14</f>
        <v>54653.10625</v>
      </c>
      <c r="H15" s="20" t="n">
        <f aca="false">MAX(0,MIN(1,G15/Waterfall!$C$15))</f>
        <v>1</v>
      </c>
      <c r="I15" s="20" t="n">
        <f aca="false">MAX(0,MIN(1,(G15-Waterfall!$C$15)/Waterfall!$B$16))</f>
        <v>1</v>
      </c>
      <c r="J15" s="20" t="n">
        <f aca="false">MAX(0,MIN(1,(G15-Waterfall!$C$16)/Waterfall!$B$17))</f>
        <v>1</v>
      </c>
      <c r="K15" s="19" t="n">
        <f aca="false">MAX(0,MIN(Waterfall!$B$18,G15-Waterfall!$C$17))</f>
        <v>10000</v>
      </c>
      <c r="L15" s="20" t="n">
        <f aca="false">K15/Waterfall!$B$18</f>
        <v>1</v>
      </c>
      <c r="M15" s="52" t="n">
        <f aca="false">L15*100</f>
        <v>100</v>
      </c>
      <c r="N15" s="20" t="n">
        <f aca="false">M15/Preferreds!$O$5-1</f>
        <v>0.138044838966655</v>
      </c>
      <c r="O15" s="53" t="n">
        <f aca="false">MAX(0,G15-Waterfall!$C$17)/Waterfall!$B$18</f>
        <v>4.467934435</v>
      </c>
      <c r="P15" s="20" t="n">
        <f aca="false">MAX(0,MIN(1,(G15-Waterfall!$C$18)/Waterfall!$B$19))</f>
        <v>1</v>
      </c>
      <c r="Q15" s="20" t="n">
        <f aca="false">MAX(0,MIN(1,(G15-Waterfall!$C$19)/Waterfall!$B$20))</f>
        <v>1</v>
      </c>
      <c r="R15" s="20" t="n">
        <f aca="false">MAX(0,MIN(1,(G15-Waterfall!$C$20)/Waterfall!$B$21))</f>
        <v>1</v>
      </c>
      <c r="S15" s="19" t="n">
        <f aca="false">MAX(0,G15-Waterfall!$C$21)</f>
        <v>30975.84785</v>
      </c>
    </row>
    <row r="16" customFormat="false" ht="15" hidden="false" customHeight="true" outlineLevel="0" collapsed="false">
      <c r="A16" s="4" t="s">
        <v>282</v>
      </c>
      <c r="B16" s="31" t="n">
        <v>70000</v>
      </c>
      <c r="C16" s="19" t="n">
        <f aca="false">Assumptions!$B$6*B16/1000000</f>
        <v>59064.25</v>
      </c>
      <c r="D16" s="19" t="n">
        <f aca="false">C16*Assumptions!$B$17</f>
        <v>59064.25</v>
      </c>
      <c r="E16" s="19" t="n">
        <f aca="false">IF(Assumptions!$B$20=1,Assumptions!$B$19,Assumptions!$B$18*C16)</f>
        <v>2953.2125</v>
      </c>
      <c r="F16" s="19" t="n">
        <f aca="false">Assumptions!$B$21*Assumptions!$B$22*MAX(0,D16-Assumptions!$B$7)</f>
        <v>0</v>
      </c>
      <c r="G16" s="19" t="n">
        <f aca="false">D16-E16-F16+Assumptions!$B$14</f>
        <v>58661.0375</v>
      </c>
      <c r="H16" s="20" t="n">
        <f aca="false">MAX(0,MIN(1,G16/Waterfall!$C$15))</f>
        <v>1</v>
      </c>
      <c r="I16" s="20" t="n">
        <f aca="false">MAX(0,MIN(1,(G16-Waterfall!$C$15)/Waterfall!$B$16))</f>
        <v>1</v>
      </c>
      <c r="J16" s="20" t="n">
        <f aca="false">MAX(0,MIN(1,(G16-Waterfall!$C$16)/Waterfall!$B$17))</f>
        <v>1</v>
      </c>
      <c r="K16" s="19" t="n">
        <f aca="false">MAX(0,MIN(Waterfall!$B$18,G16-Waterfall!$C$17))</f>
        <v>10000</v>
      </c>
      <c r="L16" s="20" t="n">
        <f aca="false">K16/Waterfall!$B$18</f>
        <v>1</v>
      </c>
      <c r="M16" s="52" t="n">
        <f aca="false">L16*100</f>
        <v>100</v>
      </c>
      <c r="N16" s="20" t="n">
        <f aca="false">M16/Preferreds!$O$5-1</f>
        <v>0.138044838966655</v>
      </c>
      <c r="O16" s="53" t="n">
        <f aca="false">MAX(0,G16-Waterfall!$C$17)/Waterfall!$B$18</f>
        <v>4.86872756</v>
      </c>
      <c r="P16" s="20" t="n">
        <f aca="false">MAX(0,MIN(1,(G16-Waterfall!$C$18)/Waterfall!$B$19))</f>
        <v>1</v>
      </c>
      <c r="Q16" s="20" t="n">
        <f aca="false">MAX(0,MIN(1,(G16-Waterfall!$C$19)/Waterfall!$B$20))</f>
        <v>1</v>
      </c>
      <c r="R16" s="20" t="n">
        <f aca="false">MAX(0,MIN(1,(G16-Waterfall!$C$20)/Waterfall!$B$21))</f>
        <v>1</v>
      </c>
      <c r="S16" s="19" t="n">
        <f aca="false">MAX(0,G16-Waterfall!$C$21)</f>
        <v>34983.7791</v>
      </c>
    </row>
    <row r="17" customFormat="false" ht="15" hidden="false" customHeight="true" outlineLevel="0" collapsed="false">
      <c r="A17" s="4" t="s">
        <v>283</v>
      </c>
      <c r="B17" s="31" t="n">
        <v>80000</v>
      </c>
      <c r="C17" s="19" t="n">
        <f aca="false">Assumptions!$B$6*B17/1000000</f>
        <v>67502</v>
      </c>
      <c r="D17" s="19" t="n">
        <f aca="false">C17*Assumptions!$B$17</f>
        <v>67502</v>
      </c>
      <c r="E17" s="19" t="n">
        <f aca="false">IF(Assumptions!$B$20=1,Assumptions!$B$19,Assumptions!$B$18*C17)</f>
        <v>3375.1</v>
      </c>
      <c r="F17" s="19" t="n">
        <f aca="false">Assumptions!$B$21*Assumptions!$B$22*MAX(0,D17-Assumptions!$B$7)</f>
        <v>800.52</v>
      </c>
      <c r="G17" s="19" t="n">
        <f aca="false">D17-E17-F17+Assumptions!$B$14</f>
        <v>65876.38</v>
      </c>
      <c r="H17" s="20" t="n">
        <f aca="false">MAX(0,MIN(1,G17/Waterfall!$C$15))</f>
        <v>1</v>
      </c>
      <c r="I17" s="20" t="n">
        <f aca="false">MAX(0,MIN(1,(G17-Waterfall!$C$15)/Waterfall!$B$16))</f>
        <v>1</v>
      </c>
      <c r="J17" s="20" t="n">
        <f aca="false">MAX(0,MIN(1,(G17-Waterfall!$C$16)/Waterfall!$B$17))</f>
        <v>1</v>
      </c>
      <c r="K17" s="19" t="n">
        <f aca="false">MAX(0,MIN(Waterfall!$B$18,G17-Waterfall!$C$17))</f>
        <v>10000</v>
      </c>
      <c r="L17" s="20" t="n">
        <f aca="false">K17/Waterfall!$B$18</f>
        <v>1</v>
      </c>
      <c r="M17" s="52" t="n">
        <f aca="false">L17*100</f>
        <v>100</v>
      </c>
      <c r="N17" s="20" t="n">
        <f aca="false">M17/Preferreds!$O$5-1</f>
        <v>0.138044838966655</v>
      </c>
      <c r="O17" s="53" t="n">
        <f aca="false">MAX(0,G17-Waterfall!$C$17)/Waterfall!$B$18</f>
        <v>5.59026181</v>
      </c>
      <c r="P17" s="20" t="n">
        <f aca="false">MAX(0,MIN(1,(G17-Waterfall!$C$18)/Waterfall!$B$19))</f>
        <v>1</v>
      </c>
      <c r="Q17" s="20" t="n">
        <f aca="false">MAX(0,MIN(1,(G17-Waterfall!$C$19)/Waterfall!$B$20))</f>
        <v>1</v>
      </c>
      <c r="R17" s="20" t="n">
        <f aca="false">MAX(0,MIN(1,(G17-Waterfall!$C$20)/Waterfall!$B$21))</f>
        <v>1</v>
      </c>
      <c r="S17" s="19" t="n">
        <f aca="false">MAX(0,G17-Waterfall!$C$21)</f>
        <v>42199.1216</v>
      </c>
    </row>
    <row r="18" customFormat="false" ht="15" hidden="false" customHeight="true" outlineLevel="0" collapsed="false">
      <c r="A18" s="4" t="s">
        <v>284</v>
      </c>
      <c r="B18" s="31" t="n">
        <v>90000</v>
      </c>
      <c r="C18" s="19" t="n">
        <f aca="false">Assumptions!$B$6*B18/1000000</f>
        <v>75939.75</v>
      </c>
      <c r="D18" s="19" t="n">
        <f aca="false">C18*Assumptions!$B$17</f>
        <v>75939.75</v>
      </c>
      <c r="E18" s="19" t="n">
        <f aca="false">IF(Assumptions!$B$20=1,Assumptions!$B$19,Assumptions!$B$18*C18)</f>
        <v>3796.9875</v>
      </c>
      <c r="F18" s="19" t="n">
        <f aca="false">Assumptions!$B$21*Assumptions!$B$22*MAX(0,D18-Assumptions!$B$7)</f>
        <v>2572.4475</v>
      </c>
      <c r="G18" s="19" t="n">
        <f aca="false">D18-E18-F18+Assumptions!$B$14</f>
        <v>72120.315</v>
      </c>
      <c r="H18" s="20" t="n">
        <f aca="false">MAX(0,MIN(1,G18/Waterfall!$C$15))</f>
        <v>1</v>
      </c>
      <c r="I18" s="20" t="n">
        <f aca="false">MAX(0,MIN(1,(G18-Waterfall!$C$15)/Waterfall!$B$16))</f>
        <v>1</v>
      </c>
      <c r="J18" s="20" t="n">
        <f aca="false">MAX(0,MIN(1,(G18-Waterfall!$C$16)/Waterfall!$B$17))</f>
        <v>1</v>
      </c>
      <c r="K18" s="19" t="n">
        <f aca="false">MAX(0,MIN(Waterfall!$B$18,G18-Waterfall!$C$17))</f>
        <v>10000</v>
      </c>
      <c r="L18" s="20" t="n">
        <f aca="false">K18/Waterfall!$B$18</f>
        <v>1</v>
      </c>
      <c r="M18" s="52" t="n">
        <f aca="false">L18*100</f>
        <v>100</v>
      </c>
      <c r="N18" s="20" t="n">
        <f aca="false">M18/Preferreds!$O$5-1</f>
        <v>0.138044838966655</v>
      </c>
      <c r="O18" s="53" t="n">
        <f aca="false">MAX(0,G18-Waterfall!$C$17)/Waterfall!$B$18</f>
        <v>6.21465531</v>
      </c>
      <c r="P18" s="20" t="n">
        <f aca="false">MAX(0,MIN(1,(G18-Waterfall!$C$18)/Waterfall!$B$19))</f>
        <v>1</v>
      </c>
      <c r="Q18" s="20" t="n">
        <f aca="false">MAX(0,MIN(1,(G18-Waterfall!$C$19)/Waterfall!$B$20))</f>
        <v>1</v>
      </c>
      <c r="R18" s="20" t="n">
        <f aca="false">MAX(0,MIN(1,(G18-Waterfall!$C$20)/Waterfall!$B$21))</f>
        <v>1</v>
      </c>
      <c r="S18" s="19" t="n">
        <f aca="false">MAX(0,G18-Waterfall!$C$21)</f>
        <v>48443.0566</v>
      </c>
    </row>
    <row r="19" customFormat="false" ht="15" hidden="false" customHeight="true" outlineLevel="0" collapsed="false">
      <c r="A19" s="4" t="s">
        <v>285</v>
      </c>
      <c r="B19" s="31" t="n">
        <v>100000</v>
      </c>
      <c r="C19" s="19" t="n">
        <f aca="false">Assumptions!$B$6*B19/1000000</f>
        <v>84377.5</v>
      </c>
      <c r="D19" s="19" t="n">
        <f aca="false">C19*Assumptions!$B$17</f>
        <v>84377.5</v>
      </c>
      <c r="E19" s="19" t="n">
        <f aca="false">IF(Assumptions!$B$20=1,Assumptions!$B$19,Assumptions!$B$18*C19)</f>
        <v>4218.875</v>
      </c>
      <c r="F19" s="19" t="n">
        <f aca="false">Assumptions!$B$21*Assumptions!$B$22*MAX(0,D19-Assumptions!$B$7)</f>
        <v>4344.375</v>
      </c>
      <c r="G19" s="19" t="n">
        <f aca="false">D19-E19-F19+Assumptions!$B$14</f>
        <v>78364.25</v>
      </c>
      <c r="H19" s="20" t="n">
        <f aca="false">MAX(0,MIN(1,G19/Waterfall!$C$15))</f>
        <v>1</v>
      </c>
      <c r="I19" s="20" t="n">
        <f aca="false">MAX(0,MIN(1,(G19-Waterfall!$C$15)/Waterfall!$B$16))</f>
        <v>1</v>
      </c>
      <c r="J19" s="20" t="n">
        <f aca="false">MAX(0,MIN(1,(G19-Waterfall!$C$16)/Waterfall!$B$17))</f>
        <v>1</v>
      </c>
      <c r="K19" s="19" t="n">
        <f aca="false">MAX(0,MIN(Waterfall!$B$18,G19-Waterfall!$C$17))</f>
        <v>10000</v>
      </c>
      <c r="L19" s="20" t="n">
        <f aca="false">K19/Waterfall!$B$18</f>
        <v>1</v>
      </c>
      <c r="M19" s="52" t="n">
        <f aca="false">L19*100</f>
        <v>100</v>
      </c>
      <c r="N19" s="20" t="n">
        <f aca="false">M19/Preferreds!$O$5-1</f>
        <v>0.138044838966655</v>
      </c>
      <c r="O19" s="53" t="n">
        <f aca="false">MAX(0,G19-Waterfall!$C$17)/Waterfall!$B$18</f>
        <v>6.83904881</v>
      </c>
      <c r="P19" s="20" t="n">
        <f aca="false">MAX(0,MIN(1,(G19-Waterfall!$C$18)/Waterfall!$B$19))</f>
        <v>1</v>
      </c>
      <c r="Q19" s="20" t="n">
        <f aca="false">MAX(0,MIN(1,(G19-Waterfall!$C$19)/Waterfall!$B$20))</f>
        <v>1</v>
      </c>
      <c r="R19" s="20" t="n">
        <f aca="false">MAX(0,MIN(1,(G19-Waterfall!$C$20)/Waterfall!$B$21))</f>
        <v>1</v>
      </c>
      <c r="S19" s="19" t="n">
        <f aca="false">MAX(0,G19-Waterfall!$C$21)</f>
        <v>54686.9916</v>
      </c>
    </row>
    <row r="20" customFormat="false" ht="15" hidden="false" customHeight="true" outlineLevel="0" collapsed="false">
      <c r="A20" s="4" t="s">
        <v>286</v>
      </c>
      <c r="B20" s="31" t="n">
        <v>125000</v>
      </c>
      <c r="C20" s="19" t="n">
        <f aca="false">Assumptions!$B$6*B20/1000000</f>
        <v>105471.875</v>
      </c>
      <c r="D20" s="19" t="n">
        <f aca="false">C20*Assumptions!$B$17</f>
        <v>105471.875</v>
      </c>
      <c r="E20" s="19" t="n">
        <f aca="false">IF(Assumptions!$B$20=1,Assumptions!$B$19,Assumptions!$B$18*C20)</f>
        <v>5273.59375</v>
      </c>
      <c r="F20" s="19" t="n">
        <f aca="false">Assumptions!$B$21*Assumptions!$B$22*MAX(0,D20-Assumptions!$B$7)</f>
        <v>8774.19375</v>
      </c>
      <c r="G20" s="19" t="n">
        <f aca="false">D20-E20-F20+Assumptions!$B$14</f>
        <v>93974.0875</v>
      </c>
      <c r="H20" s="20" t="n">
        <f aca="false">MAX(0,MIN(1,G20/Waterfall!$C$15))</f>
        <v>1</v>
      </c>
      <c r="I20" s="20" t="n">
        <f aca="false">MAX(0,MIN(1,(G20-Waterfall!$C$15)/Waterfall!$B$16))</f>
        <v>1</v>
      </c>
      <c r="J20" s="20" t="n">
        <f aca="false">MAX(0,MIN(1,(G20-Waterfall!$C$16)/Waterfall!$B$17))</f>
        <v>1</v>
      </c>
      <c r="K20" s="19" t="n">
        <f aca="false">MAX(0,MIN(Waterfall!$B$18,G20-Waterfall!$C$17))</f>
        <v>10000</v>
      </c>
      <c r="L20" s="20" t="n">
        <f aca="false">K20/Waterfall!$B$18</f>
        <v>1</v>
      </c>
      <c r="M20" s="52" t="n">
        <f aca="false">L20*100</f>
        <v>100</v>
      </c>
      <c r="N20" s="20" t="n">
        <f aca="false">M20/Preferreds!$O$5-1</f>
        <v>0.138044838966655</v>
      </c>
      <c r="O20" s="53" t="n">
        <f aca="false">MAX(0,G20-Waterfall!$C$17)/Waterfall!$B$18</f>
        <v>8.40003256</v>
      </c>
      <c r="P20" s="20" t="n">
        <f aca="false">MAX(0,MIN(1,(G20-Waterfall!$C$18)/Waterfall!$B$19))</f>
        <v>1</v>
      </c>
      <c r="Q20" s="20" t="n">
        <f aca="false">MAX(0,MIN(1,(G20-Waterfall!$C$19)/Waterfall!$B$20))</f>
        <v>1</v>
      </c>
      <c r="R20" s="20" t="n">
        <f aca="false">MAX(0,MIN(1,(G20-Waterfall!$C$20)/Waterfall!$B$21))</f>
        <v>1</v>
      </c>
      <c r="S20" s="19" t="n">
        <f aca="false">MAX(0,G20-Waterfall!$C$21)</f>
        <v>70296.8291</v>
      </c>
    </row>
    <row r="21" customFormat="false" ht="15" hidden="false" customHeight="true" outlineLevel="0" collapsed="false">
      <c r="A21" s="4" t="s">
        <v>287</v>
      </c>
      <c r="B21" s="31" t="n">
        <v>150000</v>
      </c>
      <c r="C21" s="19" t="n">
        <f aca="false">Assumptions!$B$6*B21/1000000</f>
        <v>126566.25</v>
      </c>
      <c r="D21" s="19" t="n">
        <f aca="false">C21*Assumptions!$B$17</f>
        <v>126566.25</v>
      </c>
      <c r="E21" s="19" t="n">
        <f aca="false">IF(Assumptions!$B$20=1,Assumptions!$B$19,Assumptions!$B$18*C21)</f>
        <v>6328.3125</v>
      </c>
      <c r="F21" s="19" t="n">
        <f aca="false">Assumptions!$B$21*Assumptions!$B$22*MAX(0,D21-Assumptions!$B$7)</f>
        <v>13204.0125</v>
      </c>
      <c r="G21" s="19" t="n">
        <f aca="false">D21-E21-F21+Assumptions!$B$14</f>
        <v>109583.925</v>
      </c>
      <c r="H21" s="20" t="n">
        <f aca="false">MAX(0,MIN(1,G21/Waterfall!$C$15))</f>
        <v>1</v>
      </c>
      <c r="I21" s="20" t="n">
        <f aca="false">MAX(0,MIN(1,(G21-Waterfall!$C$15)/Waterfall!$B$16))</f>
        <v>1</v>
      </c>
      <c r="J21" s="20" t="n">
        <f aca="false">MAX(0,MIN(1,(G21-Waterfall!$C$16)/Waterfall!$B$17))</f>
        <v>1</v>
      </c>
      <c r="K21" s="19" t="n">
        <f aca="false">MAX(0,MIN(Waterfall!$B$18,G21-Waterfall!$C$17))</f>
        <v>10000</v>
      </c>
      <c r="L21" s="20" t="n">
        <f aca="false">K21/Waterfall!$B$18</f>
        <v>1</v>
      </c>
      <c r="M21" s="52" t="n">
        <f aca="false">L21*100</f>
        <v>100</v>
      </c>
      <c r="N21" s="20" t="n">
        <f aca="false">M21/Preferreds!$O$5-1</f>
        <v>0.138044838966655</v>
      </c>
      <c r="O21" s="53" t="n">
        <f aca="false">MAX(0,G21-Waterfall!$C$17)/Waterfall!$B$18</f>
        <v>9.96101631</v>
      </c>
      <c r="P21" s="20" t="n">
        <f aca="false">MAX(0,MIN(1,(G21-Waterfall!$C$18)/Waterfall!$B$19))</f>
        <v>1</v>
      </c>
      <c r="Q21" s="20" t="n">
        <f aca="false">MAX(0,MIN(1,(G21-Waterfall!$C$19)/Waterfall!$B$20))</f>
        <v>1</v>
      </c>
      <c r="R21" s="20" t="n">
        <f aca="false">MAX(0,MIN(1,(G21-Waterfall!$C$20)/Waterfall!$B$21))</f>
        <v>1</v>
      </c>
      <c r="S21" s="19" t="n">
        <f aca="false">MAX(0,G21-Waterfall!$C$21)</f>
        <v>85906.6666</v>
      </c>
    </row>
    <row r="22" customFormat="false" ht="15" hidden="false" customHeight="true" outlineLevel="0" collapsed="false">
      <c r="A22" s="4" t="s">
        <v>288</v>
      </c>
      <c r="B22" s="31" t="n">
        <v>200000</v>
      </c>
      <c r="C22" s="19" t="n">
        <f aca="false">Assumptions!$B$6*B22/1000000</f>
        <v>168755</v>
      </c>
      <c r="D22" s="19" t="n">
        <f aca="false">C22*Assumptions!$B$17</f>
        <v>168755</v>
      </c>
      <c r="E22" s="19" t="n">
        <f aca="false">IF(Assumptions!$B$20=1,Assumptions!$B$19,Assumptions!$B$18*C22)</f>
        <v>8437.75</v>
      </c>
      <c r="F22" s="19" t="n">
        <f aca="false">Assumptions!$B$21*Assumptions!$B$22*MAX(0,D22-Assumptions!$B$7)</f>
        <v>22063.65</v>
      </c>
      <c r="G22" s="19" t="n">
        <f aca="false">D22-E22-F22+Assumptions!$B$14</f>
        <v>140803.6</v>
      </c>
      <c r="H22" s="20" t="n">
        <f aca="false">MAX(0,MIN(1,G22/Waterfall!$C$15))</f>
        <v>1</v>
      </c>
      <c r="I22" s="20" t="n">
        <f aca="false">MAX(0,MIN(1,(G22-Waterfall!$C$15)/Waterfall!$B$16))</f>
        <v>1</v>
      </c>
      <c r="J22" s="20" t="n">
        <f aca="false">MAX(0,MIN(1,(G22-Waterfall!$C$16)/Waterfall!$B$17))</f>
        <v>1</v>
      </c>
      <c r="K22" s="19" t="n">
        <f aca="false">MAX(0,MIN(Waterfall!$B$18,G22-Waterfall!$C$17))</f>
        <v>10000</v>
      </c>
      <c r="L22" s="20" t="n">
        <f aca="false">K22/Waterfall!$B$18</f>
        <v>1</v>
      </c>
      <c r="M22" s="52" t="n">
        <f aca="false">L22*100</f>
        <v>100</v>
      </c>
      <c r="N22" s="20" t="n">
        <f aca="false">M22/Preferreds!$O$5-1</f>
        <v>0.138044838966655</v>
      </c>
      <c r="O22" s="53" t="n">
        <f aca="false">MAX(0,G22-Waterfall!$C$17)/Waterfall!$B$18</f>
        <v>13.08298381</v>
      </c>
      <c r="P22" s="20" t="n">
        <f aca="false">MAX(0,MIN(1,(G22-Waterfall!$C$18)/Waterfall!$B$19))</f>
        <v>1</v>
      </c>
      <c r="Q22" s="20" t="n">
        <f aca="false">MAX(0,MIN(1,(G22-Waterfall!$C$19)/Waterfall!$B$20))</f>
        <v>1</v>
      </c>
      <c r="R22" s="20" t="n">
        <f aca="false">MAX(0,MIN(1,(G22-Waterfall!$C$20)/Waterfall!$B$21))</f>
        <v>1</v>
      </c>
      <c r="S22" s="19" t="n">
        <f aca="false">MAX(0,G22-Waterfall!$C$21)</f>
        <v>117126.3416</v>
      </c>
    </row>
    <row r="23" customFormat="false" ht="15" hidden="false" customHeight="true" outlineLevel="0" collapsed="false">
      <c r="A23" s="43" t="s">
        <v>289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customFormat="false" ht="15" hidden="false" customHeight="true" outlineLevel="0" collapsed="false">
      <c r="A24" s="4" t="s">
        <v>290</v>
      </c>
      <c r="B24" s="13" t="n">
        <f aca="false">Assumptions!$B$5*1</f>
        <v>63500</v>
      </c>
      <c r="C24" s="19" t="n">
        <f aca="false">Assumptions!$B$6*B24/1000000</f>
        <v>53579.7125</v>
      </c>
      <c r="D24" s="19" t="n">
        <f aca="false">C24*Assumptions!$B$17</f>
        <v>53579.7125</v>
      </c>
      <c r="E24" s="19" t="n">
        <f aca="false">IF(Assumptions!$B$20=1,Assumptions!$B$19,Assumptions!$B$18*C24)</f>
        <v>2678.985625</v>
      </c>
      <c r="F24" s="19" t="n">
        <f aca="false">Assumptions!$B$21*Assumptions!$B$22*MAX(0,D24-Assumptions!$B$7)</f>
        <v>0</v>
      </c>
      <c r="G24" s="19" t="n">
        <f aca="false">D24-E24-F24+Assumptions!$B$14</f>
        <v>53450.726875</v>
      </c>
      <c r="H24" s="20" t="n">
        <f aca="false">MAX(0,MIN(1,G24/Waterfall!$C$15))</f>
        <v>1</v>
      </c>
      <c r="I24" s="20" t="n">
        <f aca="false">MAX(0,MIN(1,(G24-Waterfall!$C$15)/Waterfall!$B$16))</f>
        <v>1</v>
      </c>
      <c r="J24" s="20" t="n">
        <f aca="false">MAX(0,MIN(1,(G24-Waterfall!$C$16)/Waterfall!$B$17))</f>
        <v>1</v>
      </c>
      <c r="K24" s="19" t="n">
        <f aca="false">MAX(0,MIN(Waterfall!$B$18,G24-Waterfall!$C$17))</f>
        <v>10000</v>
      </c>
      <c r="L24" s="20" t="n">
        <f aca="false">K24/Waterfall!$B$18</f>
        <v>1</v>
      </c>
      <c r="M24" s="52" t="n">
        <f aca="false">L24*100</f>
        <v>100</v>
      </c>
      <c r="N24" s="20" t="n">
        <f aca="false">M24/Preferreds!$O$5-1</f>
        <v>0.138044838966655</v>
      </c>
      <c r="O24" s="53" t="n">
        <f aca="false">MAX(0,G24-Waterfall!$C$17)/Waterfall!$B$18</f>
        <v>4.3476964975</v>
      </c>
      <c r="P24" s="20" t="n">
        <f aca="false">MAX(0,MIN(1,(G24-Waterfall!$C$18)/Waterfall!$B$19))</f>
        <v>1</v>
      </c>
      <c r="Q24" s="20" t="n">
        <f aca="false">MAX(0,MIN(1,(G24-Waterfall!$C$19)/Waterfall!$B$20))</f>
        <v>1</v>
      </c>
      <c r="R24" s="20" t="n">
        <f aca="false">MAX(0,MIN(1,(G24-Waterfall!$C$20)/Waterfall!$B$21))</f>
        <v>1</v>
      </c>
      <c r="S24" s="19" t="n">
        <f aca="false">MAX(0,G24-Waterfall!$C$21)</f>
        <v>29773.468475</v>
      </c>
    </row>
    <row r="25" customFormat="false" ht="15" hidden="false" customHeight="true" outlineLevel="0" collapsed="false">
      <c r="A25" s="4" t="s">
        <v>291</v>
      </c>
      <c r="B25" s="13" t="n">
        <f aca="false">Assumptions!$B$5*0.9</f>
        <v>57150</v>
      </c>
      <c r="C25" s="19" t="n">
        <f aca="false">Assumptions!$B$6*B25/1000000</f>
        <v>48221.74125</v>
      </c>
      <c r="D25" s="19" t="n">
        <f aca="false">C25*Assumptions!$B$17</f>
        <v>48221.74125</v>
      </c>
      <c r="E25" s="19" t="n">
        <f aca="false">IF(Assumptions!$B$20=1,Assumptions!$B$19,Assumptions!$B$18*C25)</f>
        <v>2411.0870625</v>
      </c>
      <c r="F25" s="19" t="n">
        <f aca="false">Assumptions!$B$21*Assumptions!$B$22*MAX(0,D25-Assumptions!$B$7)</f>
        <v>0</v>
      </c>
      <c r="G25" s="19" t="n">
        <f aca="false">D25-E25-F25+Assumptions!$B$14</f>
        <v>48360.6541875</v>
      </c>
      <c r="H25" s="20" t="n">
        <f aca="false">MAX(0,MIN(1,G25/Waterfall!$C$15))</f>
        <v>1</v>
      </c>
      <c r="I25" s="20" t="n">
        <f aca="false">MAX(0,MIN(1,(G25-Waterfall!$C$15)/Waterfall!$B$16))</f>
        <v>1</v>
      </c>
      <c r="J25" s="20" t="n">
        <f aca="false">MAX(0,MIN(1,(G25-Waterfall!$C$16)/Waterfall!$B$17))</f>
        <v>1</v>
      </c>
      <c r="K25" s="19" t="n">
        <f aca="false">MAX(0,MIN(Waterfall!$B$18,G25-Waterfall!$C$17))</f>
        <v>10000</v>
      </c>
      <c r="L25" s="20" t="n">
        <f aca="false">K25/Waterfall!$B$18</f>
        <v>1</v>
      </c>
      <c r="M25" s="52" t="n">
        <f aca="false">L25*100</f>
        <v>100</v>
      </c>
      <c r="N25" s="20" t="n">
        <f aca="false">M25/Preferreds!$O$5-1</f>
        <v>0.138044838966655</v>
      </c>
      <c r="O25" s="53" t="n">
        <f aca="false">MAX(0,G25-Waterfall!$C$17)/Waterfall!$B$18</f>
        <v>3.83868922875</v>
      </c>
      <c r="P25" s="20" t="n">
        <f aca="false">MAX(0,MIN(1,(G25-Waterfall!$C$18)/Waterfall!$B$19))</f>
        <v>1</v>
      </c>
      <c r="Q25" s="20" t="n">
        <f aca="false">MAX(0,MIN(1,(G25-Waterfall!$C$19)/Waterfall!$B$20))</f>
        <v>1</v>
      </c>
      <c r="R25" s="20" t="n">
        <f aca="false">MAX(0,MIN(1,(G25-Waterfall!$C$20)/Waterfall!$B$21))</f>
        <v>1</v>
      </c>
      <c r="S25" s="19" t="n">
        <f aca="false">MAX(0,G25-Waterfall!$C$21)</f>
        <v>24683.3957875</v>
      </c>
    </row>
    <row r="26" customFormat="false" ht="15" hidden="false" customHeight="true" outlineLevel="0" collapsed="false">
      <c r="A26" s="4" t="s">
        <v>292</v>
      </c>
      <c r="B26" s="13" t="n">
        <f aca="false">Assumptions!$B$5*0.8</f>
        <v>50800</v>
      </c>
      <c r="C26" s="19" t="n">
        <f aca="false">Assumptions!$B$6*B26/1000000</f>
        <v>42863.77</v>
      </c>
      <c r="D26" s="19" t="n">
        <f aca="false">C26*Assumptions!$B$17</f>
        <v>42863.77</v>
      </c>
      <c r="E26" s="19" t="n">
        <f aca="false">IF(Assumptions!$B$20=1,Assumptions!$B$19,Assumptions!$B$18*C26)</f>
        <v>2143.1885</v>
      </c>
      <c r="F26" s="19" t="n">
        <f aca="false">Assumptions!$B$21*Assumptions!$B$22*MAX(0,D26-Assumptions!$B$7)</f>
        <v>0</v>
      </c>
      <c r="G26" s="19" t="n">
        <f aca="false">D26-E26-F26+Assumptions!$B$14</f>
        <v>43270.5815</v>
      </c>
      <c r="H26" s="20" t="n">
        <f aca="false">MAX(0,MIN(1,G26/Waterfall!$C$15))</f>
        <v>1</v>
      </c>
      <c r="I26" s="20" t="n">
        <f aca="false">MAX(0,MIN(1,(G26-Waterfall!$C$15)/Waterfall!$B$16))</f>
        <v>1</v>
      </c>
      <c r="J26" s="20" t="n">
        <f aca="false">MAX(0,MIN(1,(G26-Waterfall!$C$16)/Waterfall!$B$17))</f>
        <v>1</v>
      </c>
      <c r="K26" s="19" t="n">
        <f aca="false">MAX(0,MIN(Waterfall!$B$18,G26-Waterfall!$C$17))</f>
        <v>10000</v>
      </c>
      <c r="L26" s="20" t="n">
        <f aca="false">K26/Waterfall!$B$18</f>
        <v>1</v>
      </c>
      <c r="M26" s="52" t="n">
        <f aca="false">L26*100</f>
        <v>100</v>
      </c>
      <c r="N26" s="20" t="n">
        <f aca="false">M26/Preferreds!$O$5-1</f>
        <v>0.138044838966655</v>
      </c>
      <c r="O26" s="53" t="n">
        <f aca="false">MAX(0,G26-Waterfall!$C$17)/Waterfall!$B$18</f>
        <v>3.32968196</v>
      </c>
      <c r="P26" s="20" t="n">
        <f aca="false">MAX(0,MIN(1,(G26-Waterfall!$C$18)/Waterfall!$B$19))</f>
        <v>1</v>
      </c>
      <c r="Q26" s="20" t="n">
        <f aca="false">MAX(0,MIN(1,(G26-Waterfall!$C$19)/Waterfall!$B$20))</f>
        <v>1</v>
      </c>
      <c r="R26" s="20" t="n">
        <f aca="false">MAX(0,MIN(1,(G26-Waterfall!$C$20)/Waterfall!$B$21))</f>
        <v>1</v>
      </c>
      <c r="S26" s="19" t="n">
        <f aca="false">MAX(0,G26-Waterfall!$C$21)</f>
        <v>19593.3231</v>
      </c>
    </row>
    <row r="27" customFormat="false" ht="15" hidden="false" customHeight="true" outlineLevel="0" collapsed="false">
      <c r="A27" s="4" t="s">
        <v>293</v>
      </c>
      <c r="B27" s="13" t="n">
        <f aca="false">Assumptions!$B$5*0.7</f>
        <v>44450</v>
      </c>
      <c r="C27" s="19" t="n">
        <f aca="false">Assumptions!$B$6*B27/1000000</f>
        <v>37505.79875</v>
      </c>
      <c r="D27" s="19" t="n">
        <f aca="false">C27*Assumptions!$B$17</f>
        <v>37505.79875</v>
      </c>
      <c r="E27" s="19" t="n">
        <f aca="false">IF(Assumptions!$B$20=1,Assumptions!$B$19,Assumptions!$B$18*C27)</f>
        <v>1875.2899375</v>
      </c>
      <c r="F27" s="19" t="n">
        <f aca="false">Assumptions!$B$21*Assumptions!$B$22*MAX(0,D27-Assumptions!$B$7)</f>
        <v>0</v>
      </c>
      <c r="G27" s="19" t="n">
        <f aca="false">D27-E27-F27+Assumptions!$B$14</f>
        <v>38180.5088125</v>
      </c>
      <c r="H27" s="20" t="n">
        <f aca="false">MAX(0,MIN(1,G27/Waterfall!$C$15))</f>
        <v>1</v>
      </c>
      <c r="I27" s="20" t="n">
        <f aca="false">MAX(0,MIN(1,(G27-Waterfall!$C$15)/Waterfall!$B$16))</f>
        <v>1</v>
      </c>
      <c r="J27" s="20" t="n">
        <f aca="false">MAX(0,MIN(1,(G27-Waterfall!$C$16)/Waterfall!$B$17))</f>
        <v>1</v>
      </c>
      <c r="K27" s="19" t="n">
        <f aca="false">MAX(0,MIN(Waterfall!$B$18,G27-Waterfall!$C$17))</f>
        <v>10000</v>
      </c>
      <c r="L27" s="20" t="n">
        <f aca="false">K27/Waterfall!$B$18</f>
        <v>1</v>
      </c>
      <c r="M27" s="52" t="n">
        <f aca="false">L27*100</f>
        <v>100</v>
      </c>
      <c r="N27" s="20" t="n">
        <f aca="false">M27/Preferreds!$O$5-1</f>
        <v>0.138044838966655</v>
      </c>
      <c r="O27" s="53" t="n">
        <f aca="false">MAX(0,G27-Waterfall!$C$17)/Waterfall!$B$18</f>
        <v>2.82067469125</v>
      </c>
      <c r="P27" s="20" t="n">
        <f aca="false">MAX(0,MIN(1,(G27-Waterfall!$C$18)/Waterfall!$B$19))</f>
        <v>1</v>
      </c>
      <c r="Q27" s="20" t="n">
        <f aca="false">MAX(0,MIN(1,(G27-Waterfall!$C$19)/Waterfall!$B$20))</f>
        <v>1</v>
      </c>
      <c r="R27" s="20" t="n">
        <f aca="false">MAX(0,MIN(1,(G27-Waterfall!$C$20)/Waterfall!$B$21))</f>
        <v>1</v>
      </c>
      <c r="S27" s="19" t="n">
        <f aca="false">MAX(0,G27-Waterfall!$C$21)</f>
        <v>14503.2504125</v>
      </c>
    </row>
    <row r="28" customFormat="false" ht="15" hidden="false" customHeight="true" outlineLevel="0" collapsed="false">
      <c r="A28" s="4" t="s">
        <v>294</v>
      </c>
      <c r="B28" s="13" t="n">
        <f aca="false">Assumptions!$B$5*0.6</f>
        <v>38100</v>
      </c>
      <c r="C28" s="19" t="n">
        <f aca="false">Assumptions!$B$6*B28/1000000</f>
        <v>32147.8275</v>
      </c>
      <c r="D28" s="19" t="n">
        <f aca="false">C28*Assumptions!$B$17</f>
        <v>32147.8275</v>
      </c>
      <c r="E28" s="19" t="n">
        <f aca="false">IF(Assumptions!$B$20=1,Assumptions!$B$19,Assumptions!$B$18*C28)</f>
        <v>1607.391375</v>
      </c>
      <c r="F28" s="19" t="n">
        <f aca="false">Assumptions!$B$21*Assumptions!$B$22*MAX(0,D28-Assumptions!$B$7)</f>
        <v>0</v>
      </c>
      <c r="G28" s="19" t="n">
        <f aca="false">D28-E28-F28+Assumptions!$B$14</f>
        <v>33090.436125</v>
      </c>
      <c r="H28" s="20" t="n">
        <f aca="false">MAX(0,MIN(1,G28/Waterfall!$C$15))</f>
        <v>1</v>
      </c>
      <c r="I28" s="20" t="n">
        <f aca="false">MAX(0,MIN(1,(G28-Waterfall!$C$15)/Waterfall!$B$16))</f>
        <v>1</v>
      </c>
      <c r="J28" s="20" t="n">
        <f aca="false">MAX(0,MIN(1,(G28-Waterfall!$C$16)/Waterfall!$B$17))</f>
        <v>1</v>
      </c>
      <c r="K28" s="19" t="n">
        <f aca="false">MAX(0,MIN(Waterfall!$B$18,G28-Waterfall!$C$17))</f>
        <v>10000</v>
      </c>
      <c r="L28" s="20" t="n">
        <f aca="false">K28/Waterfall!$B$18</f>
        <v>1</v>
      </c>
      <c r="M28" s="52" t="n">
        <f aca="false">L28*100</f>
        <v>100</v>
      </c>
      <c r="N28" s="20" t="n">
        <f aca="false">M28/Preferreds!$O$5-1</f>
        <v>0.138044838966655</v>
      </c>
      <c r="O28" s="53" t="n">
        <f aca="false">MAX(0,G28-Waterfall!$C$17)/Waterfall!$B$18</f>
        <v>2.3116674225</v>
      </c>
      <c r="P28" s="20" t="n">
        <f aca="false">MAX(0,MIN(1,(G28-Waterfall!$C$18)/Waterfall!$B$19))</f>
        <v>1</v>
      </c>
      <c r="Q28" s="20" t="n">
        <f aca="false">MAX(0,MIN(1,(G28-Waterfall!$C$19)/Waterfall!$B$20))</f>
        <v>1</v>
      </c>
      <c r="R28" s="20" t="n">
        <f aca="false">MAX(0,MIN(1,(G28-Waterfall!$C$20)/Waterfall!$B$21))</f>
        <v>1</v>
      </c>
      <c r="S28" s="19" t="n">
        <f aca="false">MAX(0,G28-Waterfall!$C$21)</f>
        <v>9413.177725</v>
      </c>
    </row>
    <row r="29" customFormat="false" ht="15" hidden="false" customHeight="true" outlineLevel="0" collapsed="false">
      <c r="A29" s="4" t="s">
        <v>295</v>
      </c>
      <c r="B29" s="13" t="n">
        <f aca="false">Assumptions!$B$5*0.5</f>
        <v>31750</v>
      </c>
      <c r="C29" s="19" t="n">
        <f aca="false">Assumptions!$B$6*B29/1000000</f>
        <v>26789.85625</v>
      </c>
      <c r="D29" s="19" t="n">
        <f aca="false">C29*Assumptions!$B$17</f>
        <v>26789.85625</v>
      </c>
      <c r="E29" s="19" t="n">
        <f aca="false">IF(Assumptions!$B$20=1,Assumptions!$B$19,Assumptions!$B$18*C29)</f>
        <v>1339.4928125</v>
      </c>
      <c r="F29" s="19" t="n">
        <f aca="false">Assumptions!$B$21*Assumptions!$B$22*MAX(0,D29-Assumptions!$B$7)</f>
        <v>0</v>
      </c>
      <c r="G29" s="19" t="n">
        <f aca="false">D29-E29-F29+Assumptions!$B$14</f>
        <v>28000.3634375</v>
      </c>
      <c r="H29" s="20" t="n">
        <f aca="false">MAX(0,MIN(1,G29/Waterfall!$C$15))</f>
        <v>1</v>
      </c>
      <c r="I29" s="20" t="n">
        <f aca="false">MAX(0,MIN(1,(G29-Waterfall!$C$15)/Waterfall!$B$16))</f>
        <v>1</v>
      </c>
      <c r="J29" s="20" t="n">
        <f aca="false">MAX(0,MIN(1,(G29-Waterfall!$C$16)/Waterfall!$B$17))</f>
        <v>1</v>
      </c>
      <c r="K29" s="19" t="n">
        <f aca="false">MAX(0,MIN(Waterfall!$B$18,G29-Waterfall!$C$17))</f>
        <v>10000</v>
      </c>
      <c r="L29" s="20" t="n">
        <f aca="false">K29/Waterfall!$B$18</f>
        <v>1</v>
      </c>
      <c r="M29" s="52" t="n">
        <f aca="false">L29*100</f>
        <v>100</v>
      </c>
      <c r="N29" s="20" t="n">
        <f aca="false">M29/Preferreds!$O$5-1</f>
        <v>0.138044838966655</v>
      </c>
      <c r="O29" s="53" t="n">
        <f aca="false">MAX(0,G29-Waterfall!$C$17)/Waterfall!$B$18</f>
        <v>1.80266015375</v>
      </c>
      <c r="P29" s="20" t="n">
        <f aca="false">MAX(0,MIN(1,(G29-Waterfall!$C$18)/Waterfall!$B$19))</f>
        <v>1</v>
      </c>
      <c r="Q29" s="20" t="n">
        <f aca="false">MAX(0,MIN(1,(G29-Waterfall!$C$19)/Waterfall!$B$20))</f>
        <v>1</v>
      </c>
      <c r="R29" s="20" t="n">
        <f aca="false">MAX(0,MIN(1,(G29-Waterfall!$C$20)/Waterfall!$B$21))</f>
        <v>1</v>
      </c>
      <c r="S29" s="19" t="n">
        <f aca="false">MAX(0,G29-Waterfall!$C$21)</f>
        <v>4323.1050375</v>
      </c>
    </row>
    <row r="30" customFormat="false" ht="15" hidden="false" customHeight="true" outlineLevel="0" collapsed="false">
      <c r="A30" s="4" t="s">
        <v>296</v>
      </c>
      <c r="B30" s="13" t="n">
        <f aca="false">Assumptions!$B$5*0.4</f>
        <v>25400</v>
      </c>
      <c r="C30" s="19" t="n">
        <f aca="false">Assumptions!$B$6*B30/1000000</f>
        <v>21431.885</v>
      </c>
      <c r="D30" s="19" t="n">
        <f aca="false">C30*Assumptions!$B$17</f>
        <v>21431.885</v>
      </c>
      <c r="E30" s="19" t="n">
        <f aca="false">IF(Assumptions!$B$20=1,Assumptions!$B$19,Assumptions!$B$18*C30)</f>
        <v>1071.59425</v>
      </c>
      <c r="F30" s="19" t="n">
        <f aca="false">Assumptions!$B$21*Assumptions!$B$22*MAX(0,D30-Assumptions!$B$7)</f>
        <v>0</v>
      </c>
      <c r="G30" s="19" t="n">
        <f aca="false">D30-E30-F30+Assumptions!$B$14</f>
        <v>22910.29075</v>
      </c>
      <c r="H30" s="20" t="n">
        <f aca="false">MAX(0,MIN(1,G30/Waterfall!$C$15))</f>
        <v>1</v>
      </c>
      <c r="I30" s="20" t="n">
        <f aca="false">MAX(0,MIN(1,(G30-Waterfall!$C$15)/Waterfall!$B$16))</f>
        <v>1</v>
      </c>
      <c r="J30" s="20" t="n">
        <f aca="false">MAX(0,MIN(1,(G30-Waterfall!$C$16)/Waterfall!$B$17))</f>
        <v>1</v>
      </c>
      <c r="K30" s="19" t="n">
        <f aca="false">MAX(0,MIN(Waterfall!$B$18,G30-Waterfall!$C$17))</f>
        <v>10000</v>
      </c>
      <c r="L30" s="20" t="n">
        <f aca="false">K30/Waterfall!$B$18</f>
        <v>1</v>
      </c>
      <c r="M30" s="52" t="n">
        <f aca="false">L30*100</f>
        <v>100</v>
      </c>
      <c r="N30" s="20" t="n">
        <f aca="false">M30/Preferreds!$O$5-1</f>
        <v>0.138044838966655</v>
      </c>
      <c r="O30" s="53" t="n">
        <f aca="false">MAX(0,G30-Waterfall!$C$17)/Waterfall!$B$18</f>
        <v>1.293652885</v>
      </c>
      <c r="P30" s="20" t="n">
        <f aca="false">MAX(0,MIN(1,(G30-Waterfall!$C$18)/Waterfall!$B$19))</f>
        <v>1</v>
      </c>
      <c r="Q30" s="20" t="n">
        <f aca="false">MAX(0,MIN(1,(G30-Waterfall!$C$19)/Waterfall!$B$20))</f>
        <v>1</v>
      </c>
      <c r="R30" s="20" t="n">
        <f aca="false">MAX(0,MIN(1,(G30-Waterfall!$C$20)/Waterfall!$B$21))</f>
        <v>0.453112119382603</v>
      </c>
      <c r="S30" s="19" t="n">
        <f aca="false">MAX(0,G30-Waterfall!$C$21)</f>
        <v>0</v>
      </c>
    </row>
    <row r="31" customFormat="false" ht="15" hidden="false" customHeight="true" outlineLevel="0" collapsed="false">
      <c r="A31" s="4" t="s">
        <v>297</v>
      </c>
      <c r="B31" s="13" t="n">
        <f aca="false">Assumptions!$B$5*0.3</f>
        <v>19050</v>
      </c>
      <c r="C31" s="19" t="n">
        <f aca="false">Assumptions!$B$6*B31/1000000</f>
        <v>16073.91375</v>
      </c>
      <c r="D31" s="19" t="n">
        <f aca="false">C31*Assumptions!$B$17</f>
        <v>16073.91375</v>
      </c>
      <c r="E31" s="19" t="n">
        <f aca="false">IF(Assumptions!$B$20=1,Assumptions!$B$19,Assumptions!$B$18*C31)</f>
        <v>803.6956875</v>
      </c>
      <c r="F31" s="19" t="n">
        <f aca="false">Assumptions!$B$21*Assumptions!$B$22*MAX(0,D31-Assumptions!$B$7)</f>
        <v>0</v>
      </c>
      <c r="G31" s="19" t="n">
        <f aca="false">D31-E31-F31+Assumptions!$B$14</f>
        <v>17820.2180625</v>
      </c>
      <c r="H31" s="20" t="n">
        <f aca="false">MAX(0,MIN(1,G31/Waterfall!$C$15))</f>
        <v>1</v>
      </c>
      <c r="I31" s="20" t="n">
        <f aca="false">MAX(0,MIN(1,(G31-Waterfall!$C$15)/Waterfall!$B$16))</f>
        <v>1</v>
      </c>
      <c r="J31" s="20" t="n">
        <f aca="false">MAX(0,MIN(1,(G31-Waterfall!$C$16)/Waterfall!$B$17))</f>
        <v>1</v>
      </c>
      <c r="K31" s="19" t="n">
        <f aca="false">MAX(0,MIN(Waterfall!$B$18,G31-Waterfall!$C$17))</f>
        <v>7846.4561625</v>
      </c>
      <c r="L31" s="20" t="n">
        <f aca="false">K31/Waterfall!$B$18</f>
        <v>0.78464561625</v>
      </c>
      <c r="M31" s="52" t="n">
        <f aca="false">L31*100</f>
        <v>78.464561625</v>
      </c>
      <c r="N31" s="20" t="n">
        <f aca="false">M31/Preferreds!$O$5-1</f>
        <v>-0.107038106008877</v>
      </c>
      <c r="O31" s="53" t="n">
        <f aca="false">MAX(0,G31-Waterfall!$C$17)/Waterfall!$B$18</f>
        <v>0.78464561625</v>
      </c>
      <c r="P31" s="20" t="n">
        <f aca="false">MAX(0,MIN(1,(G31-Waterfall!$C$18)/Waterfall!$B$19))</f>
        <v>0</v>
      </c>
      <c r="Q31" s="20" t="n">
        <f aca="false">MAX(0,MIN(1,(G31-Waterfall!$C$19)/Waterfall!$B$20))</f>
        <v>0</v>
      </c>
      <c r="R31" s="20" t="n">
        <f aca="false">MAX(0,MIN(1,(G31-Waterfall!$C$20)/Waterfall!$B$21))</f>
        <v>0</v>
      </c>
      <c r="S31" s="19" t="n">
        <f aca="false">MAX(0,G31-Waterfall!$C$21)</f>
        <v>0</v>
      </c>
    </row>
    <row r="32" customFormat="false" ht="15" hidden="false" customHeight="true" outlineLevel="0" collapsed="false">
      <c r="A32" s="4" t="s">
        <v>298</v>
      </c>
      <c r="B32" s="13" t="n">
        <f aca="false">Assumptions!$B$5*0.2</f>
        <v>12700</v>
      </c>
      <c r="C32" s="19" t="n">
        <f aca="false">Assumptions!$B$6*B32/1000000</f>
        <v>10715.9425</v>
      </c>
      <c r="D32" s="19" t="n">
        <f aca="false">C32*Assumptions!$B$17</f>
        <v>10715.9425</v>
      </c>
      <c r="E32" s="19" t="n">
        <f aca="false">IF(Assumptions!$B$20=1,Assumptions!$B$19,Assumptions!$B$18*C32)</f>
        <v>535.797125</v>
      </c>
      <c r="F32" s="19" t="n">
        <f aca="false">Assumptions!$B$21*Assumptions!$B$22*MAX(0,D32-Assumptions!$B$7)</f>
        <v>0</v>
      </c>
      <c r="G32" s="19" t="n">
        <f aca="false">D32-E32-F32+Assumptions!$B$14</f>
        <v>12730.145375</v>
      </c>
      <c r="H32" s="20" t="n">
        <f aca="false">MAX(0,MIN(1,G32/Waterfall!$C$15))</f>
        <v>1</v>
      </c>
      <c r="I32" s="20" t="n">
        <f aca="false">MAX(0,MIN(1,(G32-Waterfall!$C$15)/Waterfall!$B$16))</f>
        <v>1</v>
      </c>
      <c r="J32" s="20" t="n">
        <f aca="false">MAX(0,MIN(1,(G32-Waterfall!$C$16)/Waterfall!$B$17))</f>
        <v>1</v>
      </c>
      <c r="K32" s="19" t="n">
        <f aca="false">MAX(0,MIN(Waterfall!$B$18,G32-Waterfall!$C$17))</f>
        <v>2756.383475</v>
      </c>
      <c r="L32" s="20" t="n">
        <f aca="false">K32/Waterfall!$B$18</f>
        <v>0.2756383475</v>
      </c>
      <c r="M32" s="52" t="n">
        <f aca="false">L32*100</f>
        <v>27.56383475</v>
      </c>
      <c r="N32" s="20" t="n">
        <f aca="false">M32/Preferreds!$O$5-1</f>
        <v>-0.686311201206328</v>
      </c>
      <c r="O32" s="53" t="n">
        <f aca="false">MAX(0,G32-Waterfall!$C$17)/Waterfall!$B$18</f>
        <v>0.2756383475</v>
      </c>
      <c r="P32" s="20" t="n">
        <f aca="false">MAX(0,MIN(1,(G32-Waterfall!$C$18)/Waterfall!$B$19))</f>
        <v>0</v>
      </c>
      <c r="Q32" s="20" t="n">
        <f aca="false">MAX(0,MIN(1,(G32-Waterfall!$C$19)/Waterfall!$B$20))</f>
        <v>0</v>
      </c>
      <c r="R32" s="20" t="n">
        <f aca="false">MAX(0,MIN(1,(G32-Waterfall!$C$20)/Waterfall!$B$21))</f>
        <v>0</v>
      </c>
      <c r="S32" s="19" t="n">
        <f aca="false">MAX(0,G32-Waterfall!$C$21)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69D64"/>
    <pageSetUpPr fitToPage="false"/>
  </sheetPr>
  <dimension ref="A1:H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8"/>
    <col collapsed="false" customWidth="true" hidden="false" outlineLevel="0" max="2" min="2" style="1" width="20"/>
    <col collapsed="false" customWidth="true" hidden="false" outlineLevel="0" max="4" min="3" style="1" width="22"/>
    <col collapsed="false" customWidth="true" hidden="false" outlineLevel="0" max="5" min="5" style="1" width="16"/>
    <col collapsed="false" customWidth="true" hidden="false" outlineLevel="0" max="6" min="6" style="1" width="46"/>
  </cols>
  <sheetData>
    <row r="1" customFormat="false" ht="17.25" hidden="false" customHeight="true" outlineLevel="0" collapsed="false">
      <c r="A1" s="2" t="s">
        <v>299</v>
      </c>
    </row>
    <row r="2" customFormat="false" ht="15" hidden="false" customHeight="true" outlineLevel="0" collapsed="false">
      <c r="A2" s="3" t="s">
        <v>300</v>
      </c>
    </row>
    <row r="3" customFormat="false" ht="15" hidden="false" customHeight="true" outlineLevel="0" collapsed="false">
      <c r="A3" s="4" t="s">
        <v>301</v>
      </c>
      <c r="B3" s="40" t="n">
        <f aca="false">Assumptions!B17</f>
        <v>1</v>
      </c>
      <c r="C3" s="4" t="s">
        <v>302</v>
      </c>
      <c r="D3" s="40" t="n">
        <f aca="false">Assumptions!B18</f>
        <v>0.05</v>
      </c>
      <c r="E3" s="4" t="s">
        <v>303</v>
      </c>
      <c r="F3" s="41" t="n">
        <f aca="false">Assumptions!B19</f>
        <v>500</v>
      </c>
      <c r="G3" s="4" t="s">
        <v>304</v>
      </c>
      <c r="H3" s="40" t="n">
        <f aca="false">Assumptions!B21*Assumptions!B22</f>
        <v>0.21</v>
      </c>
    </row>
    <row r="5" customFormat="false" ht="23.25" hidden="false" customHeight="true" outlineLevel="0" collapsed="false">
      <c r="A5" s="21" t="s">
        <v>305</v>
      </c>
      <c r="B5" s="21" t="s">
        <v>306</v>
      </c>
      <c r="C5" s="21" t="s">
        <v>307</v>
      </c>
      <c r="D5" s="21" t="s">
        <v>308</v>
      </c>
      <c r="E5" s="21" t="s">
        <v>309</v>
      </c>
      <c r="F5" s="21" t="s">
        <v>109</v>
      </c>
    </row>
    <row r="6" customFormat="false" ht="15" hidden="false" customHeight="true" outlineLevel="0" collapsed="false">
      <c r="A6" s="4" t="s">
        <v>310</v>
      </c>
      <c r="B6" s="41" t="n">
        <f aca="false">Waterfall!C15</f>
        <v>8259.822</v>
      </c>
      <c r="C6" s="13" t="n">
        <f aca="false">IF((B6-Assumptions!$B$14)*1000000/(Assumptions!$B$6*(Assumptions!$B$17-Assumptions!$B$18))*Assumptions!$B$17&gt;Assumptions!$B$8,(B6-Assumptions!$B$14-Assumptions!$B$21*Assumptions!$B$22*Assumptions!$B$7)*1000000/(Assumptions!$B$6*(Assumptions!$B$17*(1-Assumptions!$B$21*Assumptions!$B$22)-Assumptions!$B$18)),(B6-Assumptions!$B$14)*1000000/(Assumptions!$B$6*(Assumptions!$B$17-Assumptions!$B$18)))</f>
        <v>7123.15362195896</v>
      </c>
      <c r="D6" s="13" t="n">
        <f aca="false">IF((B6+Assumptions!$B$19-Assumptions!$B$14)*1000000/(Assumptions!$B$6*Assumptions!$B$17)*Assumptions!$B$17&gt;Assumptions!$B$8,(B6+Assumptions!$B$19-Assumptions!$B$14-Assumptions!$B$21*Assumptions!$B$22*Assumptions!$B$7)*1000000/(Assumptions!$B$6*Assumptions!$B$17*(1-Assumptions!$B$21*Assumptions!$B$22)),(B6+Assumptions!$B$19-Assumptions!$B$14)*1000000/(Assumptions!$B$6*Assumptions!$B$17))</f>
        <v>7359.57097567479</v>
      </c>
      <c r="E6" s="20" t="n">
        <f aca="false">C6/Assumptions!$B$5-1</f>
        <v>-0.887824352410095</v>
      </c>
      <c r="F6" s="35"/>
    </row>
    <row r="7" customFormat="false" ht="15" hidden="false" customHeight="true" outlineLevel="0" collapsed="false">
      <c r="A7" s="4" t="s">
        <v>311</v>
      </c>
      <c r="B7" s="41" t="n">
        <f aca="false">Waterfall!C16</f>
        <v>8689.793</v>
      </c>
      <c r="C7" s="13" t="n">
        <f aca="false">IF((B7-Assumptions!$B$14)*1000000/(Assumptions!$B$6*(Assumptions!$B$17-Assumptions!$B$18))*Assumptions!$B$17&gt;Assumptions!$B$8,(B7-Assumptions!$B$14-Assumptions!$B$21*Assumptions!$B$22*Assumptions!$B$7)*1000000/(Assumptions!$B$6*(Assumptions!$B$17*(1-Assumptions!$B$21*Assumptions!$B$22)-Assumptions!$B$18)),(B7-Assumptions!$B$14)*1000000/(Assumptions!$B$6*(Assumptions!$B$17-Assumptions!$B$18)))</f>
        <v>7659.55379099878</v>
      </c>
      <c r="D7" s="13" t="n">
        <f aca="false">IF((B7+Assumptions!$B$19-Assumptions!$B$14)*1000000/(Assumptions!$B$6*Assumptions!$B$17)*Assumptions!$B$17&gt;Assumptions!$B$8,(B7+Assumptions!$B$19-Assumptions!$B$14-Assumptions!$B$21*Assumptions!$B$22*Assumptions!$B$7)*1000000/(Assumptions!$B$6*Assumptions!$B$17*(1-Assumptions!$B$21*Assumptions!$B$22)),(B7+Assumptions!$B$19-Assumptions!$B$14)*1000000/(Assumptions!$B$6*Assumptions!$B$17))</f>
        <v>7869.15113626263</v>
      </c>
      <c r="E7" s="20" t="n">
        <f aca="false">C7/Assumptions!$B$5-1</f>
        <v>-0.879377105653562</v>
      </c>
      <c r="F7" s="35"/>
    </row>
    <row r="8" customFormat="false" ht="15" hidden="false" customHeight="true" outlineLevel="0" collapsed="false">
      <c r="A8" s="6" t="s">
        <v>312</v>
      </c>
      <c r="B8" s="41" t="n">
        <f aca="false">Waterfall!C17</f>
        <v>9973.7619</v>
      </c>
      <c r="C8" s="13" t="n">
        <f aca="false">IF((B8-Assumptions!$B$14)*1000000/(Assumptions!$B$6*(Assumptions!$B$17-Assumptions!$B$18))*Assumptions!$B$17&gt;Assumptions!$B$8,(B8-Assumptions!$B$14-Assumptions!$B$21*Assumptions!$B$22*Assumptions!$B$7)*1000000/(Assumptions!$B$6*(Assumptions!$B$17*(1-Assumptions!$B$21*Assumptions!$B$22)-Assumptions!$B$18)),(B8-Assumptions!$B$14)*1000000/(Assumptions!$B$6*(Assumptions!$B$17-Assumptions!$B$18)))</f>
        <v>9261.33887650892</v>
      </c>
      <c r="D8" s="13" t="n">
        <f aca="false">IF((B8+Assumptions!$B$19-Assumptions!$B$14)*1000000/(Assumptions!$B$6*Assumptions!$B$17)*Assumptions!$B$17&gt;Assumptions!$B$8,(B8+Assumptions!$B$19-Assumptions!$B$14-Assumptions!$B$21*Assumptions!$B$22*Assumptions!$B$7)*1000000/(Assumptions!$B$6*Assumptions!$B$17*(1-Assumptions!$B$21*Assumptions!$B$22)),(B8+Assumptions!$B$19-Assumptions!$B$14)*1000000/(Assumptions!$B$6*Assumptions!$B$17))</f>
        <v>9390.84696749726</v>
      </c>
      <c r="E8" s="20" t="n">
        <f aca="false">C8/Assumptions!$B$5-1</f>
        <v>-0.854152143677025</v>
      </c>
      <c r="F8" s="35" t="s">
        <v>313</v>
      </c>
    </row>
    <row r="9" customFormat="false" ht="15" hidden="false" customHeight="true" outlineLevel="0" collapsed="false">
      <c r="A9" s="4" t="s">
        <v>314</v>
      </c>
      <c r="B9" s="41" t="n">
        <f aca="false">Waterfall!C17+0.5*Waterfall!B18</f>
        <v>14973.7619</v>
      </c>
      <c r="C9" s="13" t="n">
        <f aca="false">IF((B9-Assumptions!$B$14)*1000000/(Assumptions!$B$6*(Assumptions!$B$17-Assumptions!$B$18))*Assumptions!$B$17&gt;Assumptions!$B$8,(B9-Assumptions!$B$14-Assumptions!$B$21*Assumptions!$B$22*Assumptions!$B$7)*1000000/(Assumptions!$B$6*(Assumptions!$B$17*(1-Assumptions!$B$21*Assumptions!$B$22)-Assumptions!$B$18)),(B9-Assumptions!$B$14)*1000000/(Assumptions!$B$6*(Assumptions!$B$17-Assumptions!$B$18)))</f>
        <v>15498.9708219172</v>
      </c>
      <c r="D9" s="13" t="n">
        <f aca="false">IF((B9+Assumptions!$B$19-Assumptions!$B$14)*1000000/(Assumptions!$B$6*Assumptions!$B$17)*Assumptions!$B$17&gt;Assumptions!$B$8,(B9+Assumptions!$B$19-Assumptions!$B$14-Assumptions!$B$21*Assumptions!$B$22*Assumptions!$B$7)*1000000/(Assumptions!$B$6*Assumptions!$B$17*(1-Assumptions!$B$21*Assumptions!$B$22)),(B9+Assumptions!$B$19-Assumptions!$B$14)*1000000/(Assumptions!$B$6*Assumptions!$B$17))</f>
        <v>15316.5973156351</v>
      </c>
      <c r="E9" s="20" t="n">
        <f aca="false">C9/Assumptions!$B$5-1</f>
        <v>-0.755921719339887</v>
      </c>
      <c r="F9" s="35"/>
    </row>
    <row r="10" customFormat="false" ht="15" hidden="false" customHeight="true" outlineLevel="0" collapsed="false">
      <c r="A10" s="4" t="s">
        <v>315</v>
      </c>
      <c r="B10" s="41" t="n">
        <f aca="false">Waterfall!C17+0.75*Waterfall!B18</f>
        <v>17473.7619</v>
      </c>
      <c r="C10" s="13" t="n">
        <f aca="false">IF((B10-Assumptions!$B$14)*1000000/(Assumptions!$B$6*(Assumptions!$B$17-Assumptions!$B$18))*Assumptions!$B$17&gt;Assumptions!$B$8,(B10-Assumptions!$B$14-Assumptions!$B$21*Assumptions!$B$22*Assumptions!$B$7)*1000000/(Assumptions!$B$6*(Assumptions!$B$17*(1-Assumptions!$B$21*Assumptions!$B$22)-Assumptions!$B$18)),(B10-Assumptions!$B$14)*1000000/(Assumptions!$B$6*(Assumptions!$B$17-Assumptions!$B$18)))</f>
        <v>18617.7867946213</v>
      </c>
      <c r="D10" s="13" t="n">
        <f aca="false">IF((B10+Assumptions!$B$19-Assumptions!$B$14)*1000000/(Assumptions!$B$6*Assumptions!$B$17)*Assumptions!$B$17&gt;Assumptions!$B$8,(B10+Assumptions!$B$19-Assumptions!$B$14-Assumptions!$B$21*Assumptions!$B$22*Assumptions!$B$7)*1000000/(Assumptions!$B$6*Assumptions!$B$17*(1-Assumptions!$B$21*Assumptions!$B$22)),(B10+Assumptions!$B$19-Assumptions!$B$14)*1000000/(Assumptions!$B$6*Assumptions!$B$17))</f>
        <v>18279.472489704</v>
      </c>
      <c r="E10" s="20" t="n">
        <f aca="false">C10/Assumptions!$B$5-1</f>
        <v>-0.706806507171318</v>
      </c>
      <c r="F10" s="35"/>
    </row>
    <row r="11" customFormat="false" ht="15" hidden="false" customHeight="true" outlineLevel="0" collapsed="false">
      <c r="A11" s="4" t="s">
        <v>316</v>
      </c>
      <c r="B11" s="41" t="n">
        <f aca="false">Waterfall!C17+0.9*Waterfall!B18</f>
        <v>18973.7619</v>
      </c>
      <c r="C11" s="13" t="n">
        <f aca="false">IF((B11-Assumptions!$B$14)*1000000/(Assumptions!$B$6*(Assumptions!$B$17-Assumptions!$B$18))*Assumptions!$B$17&gt;Assumptions!$B$8,(B11-Assumptions!$B$14-Assumptions!$B$21*Assumptions!$B$22*Assumptions!$B$7)*1000000/(Assumptions!$B$6*(Assumptions!$B$17*(1-Assumptions!$B$21*Assumptions!$B$22)-Assumptions!$B$18)),(B11-Assumptions!$B$14)*1000000/(Assumptions!$B$6*(Assumptions!$B$17-Assumptions!$B$18)))</f>
        <v>20489.0763782438</v>
      </c>
      <c r="D11" s="13" t="n">
        <f aca="false">IF((B11+Assumptions!$B$19-Assumptions!$B$14)*1000000/(Assumptions!$B$6*Assumptions!$B$17)*Assumptions!$B$17&gt;Assumptions!$B$8,(B11+Assumptions!$B$19-Assumptions!$B$14-Assumptions!$B$21*Assumptions!$B$22*Assumptions!$B$7)*1000000/(Assumptions!$B$6*Assumptions!$B$17*(1-Assumptions!$B$21*Assumptions!$B$22)),(B11+Assumptions!$B$19-Assumptions!$B$14)*1000000/(Assumptions!$B$6*Assumptions!$B$17))</f>
        <v>20057.1975941454</v>
      </c>
      <c r="E11" s="20" t="n">
        <f aca="false">C11/Assumptions!$B$5-1</f>
        <v>-0.677337379870177</v>
      </c>
      <c r="F11" s="35"/>
    </row>
    <row r="12" customFormat="false" ht="15" hidden="false" customHeight="true" outlineLevel="0" collapsed="false">
      <c r="A12" s="43" t="s">
        <v>317</v>
      </c>
      <c r="B12" s="41" t="n">
        <f aca="false">Waterfall!C18</f>
        <v>19973.7619</v>
      </c>
      <c r="C12" s="51" t="n">
        <f aca="false">IF((B12-Assumptions!$B$14)*1000000/(Assumptions!$B$6*(Assumptions!$B$17-Assumptions!$B$18))*Assumptions!$B$17&gt;Assumptions!$B$8,(B12-Assumptions!$B$14-Assumptions!$B$21*Assumptions!$B$22*Assumptions!$B$7)*1000000/(Assumptions!$B$6*(Assumptions!$B$17*(1-Assumptions!$B$21*Assumptions!$B$22)-Assumptions!$B$18)),(B12-Assumptions!$B$14)*1000000/(Assumptions!$B$6*(Assumptions!$B$17-Assumptions!$B$18)))</f>
        <v>21736.6027673254</v>
      </c>
      <c r="D12" s="13" t="n">
        <f aca="false">IF((B12+Assumptions!$B$19-Assumptions!$B$14)*1000000/(Assumptions!$B$6*Assumptions!$B$17)*Assumptions!$B$17&gt;Assumptions!$B$8,(B12+Assumptions!$B$19-Assumptions!$B$14-Assumptions!$B$21*Assumptions!$B$22*Assumptions!$B$7)*1000000/(Assumptions!$B$6*Assumptions!$B$17*(1-Assumptions!$B$21*Assumptions!$B$22)),(B12+Assumptions!$B$19-Assumptions!$B$14)*1000000/(Assumptions!$B$6*Assumptions!$B$17))</f>
        <v>21242.3476637729</v>
      </c>
      <c r="E12" s="20" t="n">
        <f aca="false">C12/Assumptions!$B$5-1</f>
        <v>-0.65769129500275</v>
      </c>
      <c r="F12" s="35" t="s">
        <v>318</v>
      </c>
    </row>
    <row r="13" customFormat="false" ht="15" hidden="false" customHeight="true" outlineLevel="0" collapsed="false">
      <c r="A13" s="4" t="s">
        <v>319</v>
      </c>
      <c r="B13" s="41" t="n">
        <f aca="false">Waterfall!C21</f>
        <v>23677.2584</v>
      </c>
      <c r="C13" s="13" t="n">
        <f aca="false">IF((B13-Assumptions!$B$14)*1000000/(Assumptions!$B$6*(Assumptions!$B$17-Assumptions!$B$18))*Assumptions!$B$17&gt;Assumptions!$B$8,(B13-Assumptions!$B$14-Assumptions!$B$21*Assumptions!$B$22*Assumptions!$B$7)*1000000/(Assumptions!$B$6*(Assumptions!$B$17*(1-Assumptions!$B$21*Assumptions!$B$22)-Assumptions!$B$18)),(B13-Assumptions!$B$14)*1000000/(Assumptions!$B$6*(Assumptions!$B$17-Assumptions!$B$18)))</f>
        <v>26356.8123829469</v>
      </c>
      <c r="D13" s="13" t="n">
        <f aca="false">IF((B13+Assumptions!$B$19-Assumptions!$B$14)*1000000/(Assumptions!$B$6*Assumptions!$B$17)*Assumptions!$B$17&gt;Assumptions!$B$8,(B13+Assumptions!$B$19-Assumptions!$B$14-Assumptions!$B$21*Assumptions!$B$22*Assumptions!$B$7)*1000000/(Assumptions!$B$6*Assumptions!$B$17*(1-Assumptions!$B$21*Assumptions!$B$22)),(B13+Assumptions!$B$19-Assumptions!$B$14)*1000000/(Assumptions!$B$6*Assumptions!$B$17))</f>
        <v>25631.5467986134</v>
      </c>
      <c r="E13" s="20" t="n">
        <f aca="false">C13/Assumptions!$B$5-1</f>
        <v>-0.584932088457529</v>
      </c>
      <c r="F13" s="35"/>
    </row>
    <row r="14" customFormat="false" ht="21.75" hidden="false" customHeight="true" outlineLevel="0" collapsed="false">
      <c r="A14" s="4" t="s">
        <v>320</v>
      </c>
      <c r="B14" s="41" t="n">
        <f aca="false">Waterfall!C21</f>
        <v>23677.2584</v>
      </c>
      <c r="C14" s="13" t="n">
        <f aca="false">IF((B14-Assumptions!$B$14)*1000000/(Assumptions!$B$6*(Assumptions!$B$17-Assumptions!$B$18))*Assumptions!$B$17&gt;Assumptions!$B$8,(B14-Assumptions!$B$14-Assumptions!$B$21*Assumptions!$B$22*Assumptions!$B$7)*1000000/(Assumptions!$B$6*(Assumptions!$B$17*(1-Assumptions!$B$21*Assumptions!$B$22)-Assumptions!$B$18)),(B14-Assumptions!$B$14)*1000000/(Assumptions!$B$6*(Assumptions!$B$17-Assumptions!$B$18)))</f>
        <v>26356.8123829469</v>
      </c>
      <c r="D14" s="13" t="n">
        <f aca="false">IF((B14+Assumptions!$B$19-Assumptions!$B$14)*1000000/(Assumptions!$B$6*Assumptions!$B$17)*Assumptions!$B$17&gt;Assumptions!$B$8,(B14+Assumptions!$B$19-Assumptions!$B$14-Assumptions!$B$21*Assumptions!$B$22*Assumptions!$B$7)*1000000/(Assumptions!$B$6*Assumptions!$B$17*(1-Assumptions!$B$21*Assumptions!$B$22)),(B14+Assumptions!$B$19-Assumptions!$B$14)*1000000/(Assumptions!$B$6*Assumptions!$B$17))</f>
        <v>25631.5467986134</v>
      </c>
      <c r="E14" s="20" t="n">
        <f aca="false">C14/Assumptions!$B$5-1</f>
        <v>-0.584932088457529</v>
      </c>
      <c r="F14" s="35" t="s">
        <v>321</v>
      </c>
    </row>
    <row r="16" customFormat="false" ht="15" hidden="false" customHeight="true" outlineLevel="0" collapsed="false">
      <c r="A16" s="10" t="s">
        <v>322</v>
      </c>
    </row>
    <row r="17" customFormat="false" ht="15" hidden="false" customHeight="true" outlineLevel="0" collapsed="false">
      <c r="A17" s="10" t="s">
        <v>323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42E46"/>
    <pageSetUpPr fitToPage="false"/>
  </sheetPr>
  <dimension ref="A1:Q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13"/>
    <col collapsed="false" customWidth="true" hidden="false" outlineLevel="0" max="17" min="3" style="1" width="9"/>
  </cols>
  <sheetData>
    <row r="1" customFormat="false" ht="17.25" hidden="false" customHeight="true" outlineLevel="0" collapsed="false">
      <c r="A1" s="2" t="s">
        <v>324</v>
      </c>
    </row>
    <row r="2" customFormat="false" ht="15" hidden="false" customHeight="true" outlineLevel="0" collapsed="false">
      <c r="A2" s="3" t="s">
        <v>325</v>
      </c>
    </row>
    <row r="3" customFormat="false" ht="15" hidden="false" customHeight="true" outlineLevel="0" collapsed="false">
      <c r="A3" s="43" t="s">
        <v>326</v>
      </c>
      <c r="C3" s="54" t="s">
        <v>327</v>
      </c>
      <c r="H3" s="54" t="s">
        <v>328</v>
      </c>
      <c r="M3" s="54" t="s">
        <v>329</v>
      </c>
    </row>
    <row r="4" customFormat="false" ht="15" hidden="false" customHeight="true" outlineLevel="0" collapsed="false">
      <c r="B4" s="55" t="s">
        <v>330</v>
      </c>
      <c r="C4" s="56" t="n">
        <v>0.02</v>
      </c>
      <c r="D4" s="56" t="n">
        <v>0.02</v>
      </c>
      <c r="E4" s="56" t="n">
        <v>0.02</v>
      </c>
      <c r="F4" s="56" t="n">
        <v>0.02</v>
      </c>
      <c r="G4" s="56" t="n">
        <v>0.02</v>
      </c>
      <c r="H4" s="56" t="n">
        <v>0.05</v>
      </c>
      <c r="I4" s="56" t="n">
        <v>0.05</v>
      </c>
      <c r="J4" s="56" t="n">
        <v>0.05</v>
      </c>
      <c r="K4" s="56" t="n">
        <v>0.05</v>
      </c>
      <c r="L4" s="56" t="n">
        <v>0.05</v>
      </c>
      <c r="M4" s="56" t="n">
        <v>0.1</v>
      </c>
      <c r="N4" s="56" t="n">
        <v>0.1</v>
      </c>
      <c r="O4" s="56" t="n">
        <v>0.1</v>
      </c>
      <c r="P4" s="56" t="n">
        <v>0.1</v>
      </c>
      <c r="Q4" s="56" t="n">
        <v>0.1</v>
      </c>
    </row>
    <row r="5" customFormat="false" ht="15" hidden="false" customHeight="true" outlineLevel="0" collapsed="false">
      <c r="B5" s="55" t="s">
        <v>331</v>
      </c>
      <c r="C5" s="56" t="n">
        <v>1</v>
      </c>
      <c r="D5" s="56" t="n">
        <v>0.95</v>
      </c>
      <c r="E5" s="56" t="n">
        <v>0.9</v>
      </c>
      <c r="F5" s="56" t="n">
        <v>0.85</v>
      </c>
      <c r="G5" s="56" t="n">
        <v>0.8</v>
      </c>
      <c r="H5" s="56" t="n">
        <v>1</v>
      </c>
      <c r="I5" s="56" t="n">
        <v>0.95</v>
      </c>
      <c r="J5" s="56" t="n">
        <v>0.9</v>
      </c>
      <c r="K5" s="56" t="n">
        <v>0.85</v>
      </c>
      <c r="L5" s="56" t="n">
        <v>0.8</v>
      </c>
      <c r="M5" s="56" t="n">
        <v>1</v>
      </c>
      <c r="N5" s="56" t="n">
        <v>0.95</v>
      </c>
      <c r="O5" s="56" t="n">
        <v>0.9</v>
      </c>
      <c r="P5" s="56" t="n">
        <v>0.85</v>
      </c>
      <c r="Q5" s="56" t="n">
        <v>0.8</v>
      </c>
    </row>
    <row r="6" customFormat="false" ht="15" hidden="false" customHeight="true" outlineLevel="0" collapsed="false">
      <c r="B6" s="54" t="s">
        <v>256</v>
      </c>
    </row>
    <row r="7" customFormat="false" ht="15" hidden="false" customHeight="true" outlineLevel="0" collapsed="false">
      <c r="B7" s="39" t="n">
        <f aca="false">BTC_Sensitivity!B6</f>
        <v>20000</v>
      </c>
      <c r="C7" s="57" t="n">
        <f aca="false">MAX(0,MIN(1,(($B7*Assumptions!$B$6/1000000)*(C$5-C$4)-Assumptions!$B$21*Assumptions!$B$22*MAX(0,$B7*Assumptions!$B$6/1000000*C$5-Assumptions!$B$7)+Assumptions!$B$14-Waterfall!$C$17)/Waterfall!$B$18))</f>
        <v>0.91142281</v>
      </c>
      <c r="D7" s="57" t="n">
        <f aca="false">MAX(0,MIN(1,(($B7*Assumptions!$B$6/1000000)*(D$5-D$4)-Assumptions!$B$21*Assumptions!$B$22*MAX(0,$B7*Assumptions!$B$6/1000000*D$5-Assumptions!$B$7)+Assumptions!$B$14-Waterfall!$C$17)/Waterfall!$B$18))</f>
        <v>0.82704531</v>
      </c>
      <c r="E7" s="57" t="n">
        <f aca="false">MAX(0,MIN(1,(($B7*Assumptions!$B$6/1000000)*(E$5-E$4)-Assumptions!$B$21*Assumptions!$B$22*MAX(0,$B7*Assumptions!$B$6/1000000*E$5-Assumptions!$B$7)+Assumptions!$B$14-Waterfall!$C$17)/Waterfall!$B$18))</f>
        <v>0.74266781</v>
      </c>
      <c r="F7" s="57" t="n">
        <f aca="false">MAX(0,MIN(1,(($B7*Assumptions!$B$6/1000000)*(F$5-F$4)-Assumptions!$B$21*Assumptions!$B$22*MAX(0,$B7*Assumptions!$B$6/1000000*F$5-Assumptions!$B$7)+Assumptions!$B$14-Waterfall!$C$17)/Waterfall!$B$18))</f>
        <v>0.65829031</v>
      </c>
      <c r="G7" s="57" t="n">
        <f aca="false">MAX(0,MIN(1,(($B7*Assumptions!$B$6/1000000)*(G$5-G$4)-Assumptions!$B$21*Assumptions!$B$22*MAX(0,$B7*Assumptions!$B$6/1000000*G$5-Assumptions!$B$7)+Assumptions!$B$14-Waterfall!$C$17)/Waterfall!$B$18))</f>
        <v>0.57391281</v>
      </c>
      <c r="H7" s="57" t="n">
        <f aca="false">MAX(0,MIN(1,(($B7*Assumptions!$B$6/1000000)*(H$5-H$4)-Assumptions!$B$21*Assumptions!$B$22*MAX(0,$B7*Assumptions!$B$6/1000000*H$5-Assumptions!$B$7)+Assumptions!$B$14-Waterfall!$C$17)/Waterfall!$B$18))</f>
        <v>0.86079631</v>
      </c>
      <c r="I7" s="57" t="n">
        <f aca="false">MAX(0,MIN(1,(($B7*Assumptions!$B$6/1000000)*(I$5-I$4)-Assumptions!$B$21*Assumptions!$B$22*MAX(0,$B7*Assumptions!$B$6/1000000*I$5-Assumptions!$B$7)+Assumptions!$B$14-Waterfall!$C$17)/Waterfall!$B$18))</f>
        <v>0.77641881</v>
      </c>
      <c r="J7" s="57" t="n">
        <f aca="false">MAX(0,MIN(1,(($B7*Assumptions!$B$6/1000000)*(J$5-J$4)-Assumptions!$B$21*Assumptions!$B$22*MAX(0,$B7*Assumptions!$B$6/1000000*J$5-Assumptions!$B$7)+Assumptions!$B$14-Waterfall!$C$17)/Waterfall!$B$18))</f>
        <v>0.69204131</v>
      </c>
      <c r="K7" s="57" t="n">
        <f aca="false">MAX(0,MIN(1,(($B7*Assumptions!$B$6/1000000)*(K$5-K$4)-Assumptions!$B$21*Assumptions!$B$22*MAX(0,$B7*Assumptions!$B$6/1000000*K$5-Assumptions!$B$7)+Assumptions!$B$14-Waterfall!$C$17)/Waterfall!$B$18))</f>
        <v>0.60766381</v>
      </c>
      <c r="L7" s="57" t="n">
        <f aca="false">MAX(0,MIN(1,(($B7*Assumptions!$B$6/1000000)*(L$5-L$4)-Assumptions!$B$21*Assumptions!$B$22*MAX(0,$B7*Assumptions!$B$6/1000000*L$5-Assumptions!$B$7)+Assumptions!$B$14-Waterfall!$C$17)/Waterfall!$B$18))</f>
        <v>0.52328631</v>
      </c>
      <c r="M7" s="57" t="n">
        <f aca="false">MAX(0,MIN(1,(($B7*Assumptions!$B$6/1000000)*(M$5-M$4)-Assumptions!$B$21*Assumptions!$B$22*MAX(0,$B7*Assumptions!$B$6/1000000*M$5-Assumptions!$B$7)+Assumptions!$B$14-Waterfall!$C$17)/Waterfall!$B$18))</f>
        <v>0.77641881</v>
      </c>
      <c r="N7" s="57" t="n">
        <f aca="false">MAX(0,MIN(1,(($B7*Assumptions!$B$6/1000000)*(N$5-N$4)-Assumptions!$B$21*Assumptions!$B$22*MAX(0,$B7*Assumptions!$B$6/1000000*N$5-Assumptions!$B$7)+Assumptions!$B$14-Waterfall!$C$17)/Waterfall!$B$18))</f>
        <v>0.69204131</v>
      </c>
      <c r="O7" s="57" t="n">
        <f aca="false">MAX(0,MIN(1,(($B7*Assumptions!$B$6/1000000)*(O$5-O$4)-Assumptions!$B$21*Assumptions!$B$22*MAX(0,$B7*Assumptions!$B$6/1000000*O$5-Assumptions!$B$7)+Assumptions!$B$14-Waterfall!$C$17)/Waterfall!$B$18))</f>
        <v>0.60766381</v>
      </c>
      <c r="P7" s="57" t="n">
        <f aca="false">MAX(0,MIN(1,(($B7*Assumptions!$B$6/1000000)*(P$5-P$4)-Assumptions!$B$21*Assumptions!$B$22*MAX(0,$B7*Assumptions!$B$6/1000000*P$5-Assumptions!$B$7)+Assumptions!$B$14-Waterfall!$C$17)/Waterfall!$B$18))</f>
        <v>0.52328631</v>
      </c>
      <c r="Q7" s="57" t="n">
        <f aca="false">MAX(0,MIN(1,(($B7*Assumptions!$B$6/1000000)*(Q$5-Q$4)-Assumptions!$B$21*Assumptions!$B$22*MAX(0,$B7*Assumptions!$B$6/1000000*Q$5-Assumptions!$B$7)+Assumptions!$B$14-Waterfall!$C$17)/Waterfall!$B$18))</f>
        <v>0.43890881</v>
      </c>
    </row>
    <row r="8" customFormat="false" ht="15" hidden="false" customHeight="true" outlineLevel="0" collapsed="false">
      <c r="B8" s="39" t="n">
        <f aca="false">BTC_Sensitivity!B7</f>
        <v>25000</v>
      </c>
      <c r="C8" s="57" t="n">
        <f aca="false">MAX(0,MIN(1,(($B8*Assumptions!$B$6/1000000)*(C$5-C$4)-Assumptions!$B$21*Assumptions!$B$22*MAX(0,$B8*Assumptions!$B$6/1000000*C$5-Assumptions!$B$7)+Assumptions!$B$14-Waterfall!$C$17)/Waterfall!$B$18))</f>
        <v>1</v>
      </c>
      <c r="D8" s="57" t="n">
        <f aca="false">MAX(0,MIN(1,(($B8*Assumptions!$B$6/1000000)*(D$5-D$4)-Assumptions!$B$21*Assumptions!$B$22*MAX(0,$B8*Assumptions!$B$6/1000000*D$5-Assumptions!$B$7)+Assumptions!$B$14-Waterfall!$C$17)/Waterfall!$B$18))</f>
        <v>1</v>
      </c>
      <c r="E8" s="57" t="n">
        <f aca="false">MAX(0,MIN(1,(($B8*Assumptions!$B$6/1000000)*(E$5-E$4)-Assumptions!$B$21*Assumptions!$B$22*MAX(0,$B8*Assumptions!$B$6/1000000*E$5-Assumptions!$B$7)+Assumptions!$B$14-Waterfall!$C$17)/Waterfall!$B$18))</f>
        <v>1</v>
      </c>
      <c r="F8" s="57" t="n">
        <f aca="false">MAX(0,MIN(1,(($B8*Assumptions!$B$6/1000000)*(F$5-F$4)-Assumptions!$B$21*Assumptions!$B$22*MAX(0,$B8*Assumptions!$B$6/1000000*F$5-Assumptions!$B$7)+Assumptions!$B$14-Waterfall!$C$17)/Waterfall!$B$18))</f>
        <v>1</v>
      </c>
      <c r="G8" s="57" t="n">
        <f aca="false">MAX(0,MIN(1,(($B8*Assumptions!$B$6/1000000)*(G$5-G$4)-Assumptions!$B$21*Assumptions!$B$22*MAX(0,$B8*Assumptions!$B$6/1000000*G$5-Assumptions!$B$7)+Assumptions!$B$14-Waterfall!$C$17)/Waterfall!$B$18))</f>
        <v>0.90298506</v>
      </c>
      <c r="H8" s="57" t="n">
        <f aca="false">MAX(0,MIN(1,(($B8*Assumptions!$B$6/1000000)*(H$5-H$4)-Assumptions!$B$21*Assumptions!$B$22*MAX(0,$B8*Assumptions!$B$6/1000000*H$5-Assumptions!$B$7)+Assumptions!$B$14-Waterfall!$C$17)/Waterfall!$B$18))</f>
        <v>1</v>
      </c>
      <c r="I8" s="57" t="n">
        <f aca="false">MAX(0,MIN(1,(($B8*Assumptions!$B$6/1000000)*(I$5-I$4)-Assumptions!$B$21*Assumptions!$B$22*MAX(0,$B8*Assumptions!$B$6/1000000*I$5-Assumptions!$B$7)+Assumptions!$B$14-Waterfall!$C$17)/Waterfall!$B$18))</f>
        <v>1</v>
      </c>
      <c r="J8" s="57" t="n">
        <f aca="false">MAX(0,MIN(1,(($B8*Assumptions!$B$6/1000000)*(J$5-J$4)-Assumptions!$B$21*Assumptions!$B$22*MAX(0,$B8*Assumptions!$B$6/1000000*J$5-Assumptions!$B$7)+Assumptions!$B$14-Waterfall!$C$17)/Waterfall!$B$18))</f>
        <v>1</v>
      </c>
      <c r="K8" s="57" t="n">
        <f aca="false">MAX(0,MIN(1,(($B8*Assumptions!$B$6/1000000)*(K$5-K$4)-Assumptions!$B$21*Assumptions!$B$22*MAX(0,$B8*Assumptions!$B$6/1000000*K$5-Assumptions!$B$7)+Assumptions!$B$14-Waterfall!$C$17)/Waterfall!$B$18))</f>
        <v>0.94517381</v>
      </c>
      <c r="L8" s="57" t="n">
        <f aca="false">MAX(0,MIN(1,(($B8*Assumptions!$B$6/1000000)*(L$5-L$4)-Assumptions!$B$21*Assumptions!$B$22*MAX(0,$B8*Assumptions!$B$6/1000000*L$5-Assumptions!$B$7)+Assumptions!$B$14-Waterfall!$C$17)/Waterfall!$B$18))</f>
        <v>0.839701935</v>
      </c>
      <c r="M8" s="57" t="n">
        <f aca="false">MAX(0,MIN(1,(($B8*Assumptions!$B$6/1000000)*(M$5-M$4)-Assumptions!$B$21*Assumptions!$B$22*MAX(0,$B8*Assumptions!$B$6/1000000*M$5-Assumptions!$B$7)+Assumptions!$B$14-Waterfall!$C$17)/Waterfall!$B$18))</f>
        <v>1</v>
      </c>
      <c r="N8" s="57" t="n">
        <f aca="false">MAX(0,MIN(1,(($B8*Assumptions!$B$6/1000000)*(N$5-N$4)-Assumptions!$B$21*Assumptions!$B$22*MAX(0,$B8*Assumptions!$B$6/1000000*N$5-Assumptions!$B$7)+Assumptions!$B$14-Waterfall!$C$17)/Waterfall!$B$18))</f>
        <v>1</v>
      </c>
      <c r="O8" s="57" t="n">
        <f aca="false">MAX(0,MIN(1,(($B8*Assumptions!$B$6/1000000)*(O$5-O$4)-Assumptions!$B$21*Assumptions!$B$22*MAX(0,$B8*Assumptions!$B$6/1000000*O$5-Assumptions!$B$7)+Assumptions!$B$14-Waterfall!$C$17)/Waterfall!$B$18))</f>
        <v>0.94517381</v>
      </c>
      <c r="P8" s="57" t="n">
        <f aca="false">MAX(0,MIN(1,(($B8*Assumptions!$B$6/1000000)*(P$5-P$4)-Assumptions!$B$21*Assumptions!$B$22*MAX(0,$B8*Assumptions!$B$6/1000000*P$5-Assumptions!$B$7)+Assumptions!$B$14-Waterfall!$C$17)/Waterfall!$B$18))</f>
        <v>0.839701935</v>
      </c>
      <c r="Q8" s="57" t="n">
        <f aca="false">MAX(0,MIN(1,(($B8*Assumptions!$B$6/1000000)*(Q$5-Q$4)-Assumptions!$B$21*Assumptions!$B$22*MAX(0,$B8*Assumptions!$B$6/1000000*Q$5-Assumptions!$B$7)+Assumptions!$B$14-Waterfall!$C$17)/Waterfall!$B$18))</f>
        <v>0.73423006</v>
      </c>
    </row>
    <row r="9" customFormat="false" ht="15" hidden="false" customHeight="true" outlineLevel="0" collapsed="false">
      <c r="B9" s="39" t="n">
        <f aca="false">BTC_Sensitivity!B8</f>
        <v>30000</v>
      </c>
      <c r="C9" s="57" t="n">
        <f aca="false">MAX(0,MIN(1,(($B9*Assumptions!$B$6/1000000)*(C$5-C$4)-Assumptions!$B$21*Assumptions!$B$22*MAX(0,$B9*Assumptions!$B$6/1000000*C$5-Assumptions!$B$7)+Assumptions!$B$14-Waterfall!$C$17)/Waterfall!$B$18))</f>
        <v>1</v>
      </c>
      <c r="D9" s="57" t="n">
        <f aca="false">MAX(0,MIN(1,(($B9*Assumptions!$B$6/1000000)*(D$5-D$4)-Assumptions!$B$21*Assumptions!$B$22*MAX(0,$B9*Assumptions!$B$6/1000000*D$5-Assumptions!$B$7)+Assumptions!$B$14-Waterfall!$C$17)/Waterfall!$B$18))</f>
        <v>1</v>
      </c>
      <c r="E9" s="57" t="n">
        <f aca="false">MAX(0,MIN(1,(($B9*Assumptions!$B$6/1000000)*(E$5-E$4)-Assumptions!$B$21*Assumptions!$B$22*MAX(0,$B9*Assumptions!$B$6/1000000*E$5-Assumptions!$B$7)+Assumptions!$B$14-Waterfall!$C$17)/Waterfall!$B$18))</f>
        <v>1</v>
      </c>
      <c r="F9" s="57" t="n">
        <f aca="false">MAX(0,MIN(1,(($B9*Assumptions!$B$6/1000000)*(F$5-F$4)-Assumptions!$B$21*Assumptions!$B$22*MAX(0,$B9*Assumptions!$B$6/1000000*F$5-Assumptions!$B$7)+Assumptions!$B$14-Waterfall!$C$17)/Waterfall!$B$18))</f>
        <v>1</v>
      </c>
      <c r="G9" s="57" t="n">
        <f aca="false">MAX(0,MIN(1,(($B9*Assumptions!$B$6/1000000)*(G$5-G$4)-Assumptions!$B$21*Assumptions!$B$22*MAX(0,$B9*Assumptions!$B$6/1000000*G$5-Assumptions!$B$7)+Assumptions!$B$14-Waterfall!$C$17)/Waterfall!$B$18))</f>
        <v>1</v>
      </c>
      <c r="H9" s="57" t="n">
        <f aca="false">MAX(0,MIN(1,(($B9*Assumptions!$B$6/1000000)*(H$5-H$4)-Assumptions!$B$21*Assumptions!$B$22*MAX(0,$B9*Assumptions!$B$6/1000000*H$5-Assumptions!$B$7)+Assumptions!$B$14-Waterfall!$C$17)/Waterfall!$B$18))</f>
        <v>1</v>
      </c>
      <c r="I9" s="57" t="n">
        <f aca="false">MAX(0,MIN(1,(($B9*Assumptions!$B$6/1000000)*(I$5-I$4)-Assumptions!$B$21*Assumptions!$B$22*MAX(0,$B9*Assumptions!$B$6/1000000*I$5-Assumptions!$B$7)+Assumptions!$B$14-Waterfall!$C$17)/Waterfall!$B$18))</f>
        <v>1</v>
      </c>
      <c r="J9" s="57" t="n">
        <f aca="false">MAX(0,MIN(1,(($B9*Assumptions!$B$6/1000000)*(J$5-J$4)-Assumptions!$B$21*Assumptions!$B$22*MAX(0,$B9*Assumptions!$B$6/1000000*J$5-Assumptions!$B$7)+Assumptions!$B$14-Waterfall!$C$17)/Waterfall!$B$18))</f>
        <v>1</v>
      </c>
      <c r="K9" s="57" t="n">
        <f aca="false">MAX(0,MIN(1,(($B9*Assumptions!$B$6/1000000)*(K$5-K$4)-Assumptions!$B$21*Assumptions!$B$22*MAX(0,$B9*Assumptions!$B$6/1000000*K$5-Assumptions!$B$7)+Assumptions!$B$14-Waterfall!$C$17)/Waterfall!$B$18))</f>
        <v>1</v>
      </c>
      <c r="L9" s="57" t="n">
        <f aca="false">MAX(0,MIN(1,(($B9*Assumptions!$B$6/1000000)*(L$5-L$4)-Assumptions!$B$21*Assumptions!$B$22*MAX(0,$B9*Assumptions!$B$6/1000000*L$5-Assumptions!$B$7)+Assumptions!$B$14-Waterfall!$C$17)/Waterfall!$B$18))</f>
        <v>1</v>
      </c>
      <c r="M9" s="57" t="n">
        <f aca="false">MAX(0,MIN(1,(($B9*Assumptions!$B$6/1000000)*(M$5-M$4)-Assumptions!$B$21*Assumptions!$B$22*MAX(0,$B9*Assumptions!$B$6/1000000*M$5-Assumptions!$B$7)+Assumptions!$B$14-Waterfall!$C$17)/Waterfall!$B$18))</f>
        <v>1</v>
      </c>
      <c r="N9" s="57" t="n">
        <f aca="false">MAX(0,MIN(1,(($B9*Assumptions!$B$6/1000000)*(N$5-N$4)-Assumptions!$B$21*Assumptions!$B$22*MAX(0,$B9*Assumptions!$B$6/1000000*N$5-Assumptions!$B$7)+Assumptions!$B$14-Waterfall!$C$17)/Waterfall!$B$18))</f>
        <v>1</v>
      </c>
      <c r="O9" s="57" t="n">
        <f aca="false">MAX(0,MIN(1,(($B9*Assumptions!$B$6/1000000)*(O$5-O$4)-Assumptions!$B$21*Assumptions!$B$22*MAX(0,$B9*Assumptions!$B$6/1000000*O$5-Assumptions!$B$7)+Assumptions!$B$14-Waterfall!$C$17)/Waterfall!$B$18))</f>
        <v>1</v>
      </c>
      <c r="P9" s="57" t="n">
        <f aca="false">MAX(0,MIN(1,(($B9*Assumptions!$B$6/1000000)*(P$5-P$4)-Assumptions!$B$21*Assumptions!$B$22*MAX(0,$B9*Assumptions!$B$6/1000000*P$5-Assumptions!$B$7)+Assumptions!$B$14-Waterfall!$C$17)/Waterfall!$B$18))</f>
        <v>1</v>
      </c>
      <c r="Q9" s="57" t="n">
        <f aca="false">MAX(0,MIN(1,(($B9*Assumptions!$B$6/1000000)*(Q$5-Q$4)-Assumptions!$B$21*Assumptions!$B$22*MAX(0,$B9*Assumptions!$B$6/1000000*Q$5-Assumptions!$B$7)+Assumptions!$B$14-Waterfall!$C$17)/Waterfall!$B$18))</f>
        <v>1</v>
      </c>
    </row>
    <row r="10" customFormat="false" ht="15" hidden="false" customHeight="true" outlineLevel="0" collapsed="false">
      <c r="B10" s="39" t="n">
        <f aca="false">BTC_Sensitivity!B9</f>
        <v>35000</v>
      </c>
      <c r="C10" s="57" t="n">
        <f aca="false">MAX(0,MIN(1,(($B10*Assumptions!$B$6/1000000)*(C$5-C$4)-Assumptions!$B$21*Assumptions!$B$22*MAX(0,$B10*Assumptions!$B$6/1000000*C$5-Assumptions!$B$7)+Assumptions!$B$14-Waterfall!$C$17)/Waterfall!$B$18))</f>
        <v>1</v>
      </c>
      <c r="D10" s="57" t="n">
        <f aca="false">MAX(0,MIN(1,(($B10*Assumptions!$B$6/1000000)*(D$5-D$4)-Assumptions!$B$21*Assumptions!$B$22*MAX(0,$B10*Assumptions!$B$6/1000000*D$5-Assumptions!$B$7)+Assumptions!$B$14-Waterfall!$C$17)/Waterfall!$B$18))</f>
        <v>1</v>
      </c>
      <c r="E10" s="57" t="n">
        <f aca="false">MAX(0,MIN(1,(($B10*Assumptions!$B$6/1000000)*(E$5-E$4)-Assumptions!$B$21*Assumptions!$B$22*MAX(0,$B10*Assumptions!$B$6/1000000*E$5-Assumptions!$B$7)+Assumptions!$B$14-Waterfall!$C$17)/Waterfall!$B$18))</f>
        <v>1</v>
      </c>
      <c r="F10" s="57" t="n">
        <f aca="false">MAX(0,MIN(1,(($B10*Assumptions!$B$6/1000000)*(F$5-F$4)-Assumptions!$B$21*Assumptions!$B$22*MAX(0,$B10*Assumptions!$B$6/1000000*F$5-Assumptions!$B$7)+Assumptions!$B$14-Waterfall!$C$17)/Waterfall!$B$18))</f>
        <v>1</v>
      </c>
      <c r="G10" s="57" t="n">
        <f aca="false">MAX(0,MIN(1,(($B10*Assumptions!$B$6/1000000)*(G$5-G$4)-Assumptions!$B$21*Assumptions!$B$22*MAX(0,$B10*Assumptions!$B$6/1000000*G$5-Assumptions!$B$7)+Assumptions!$B$14-Waterfall!$C$17)/Waterfall!$B$18))</f>
        <v>1</v>
      </c>
      <c r="H10" s="57" t="n">
        <f aca="false">MAX(0,MIN(1,(($B10*Assumptions!$B$6/1000000)*(H$5-H$4)-Assumptions!$B$21*Assumptions!$B$22*MAX(0,$B10*Assumptions!$B$6/1000000*H$5-Assumptions!$B$7)+Assumptions!$B$14-Waterfall!$C$17)/Waterfall!$B$18))</f>
        <v>1</v>
      </c>
      <c r="I10" s="57" t="n">
        <f aca="false">MAX(0,MIN(1,(($B10*Assumptions!$B$6/1000000)*(I$5-I$4)-Assumptions!$B$21*Assumptions!$B$22*MAX(0,$B10*Assumptions!$B$6/1000000*I$5-Assumptions!$B$7)+Assumptions!$B$14-Waterfall!$C$17)/Waterfall!$B$18))</f>
        <v>1</v>
      </c>
      <c r="J10" s="57" t="n">
        <f aca="false">MAX(0,MIN(1,(($B10*Assumptions!$B$6/1000000)*(J$5-J$4)-Assumptions!$B$21*Assumptions!$B$22*MAX(0,$B10*Assumptions!$B$6/1000000*J$5-Assumptions!$B$7)+Assumptions!$B$14-Waterfall!$C$17)/Waterfall!$B$18))</f>
        <v>1</v>
      </c>
      <c r="K10" s="57" t="n">
        <f aca="false">MAX(0,MIN(1,(($B10*Assumptions!$B$6/1000000)*(K$5-K$4)-Assumptions!$B$21*Assumptions!$B$22*MAX(0,$B10*Assumptions!$B$6/1000000*K$5-Assumptions!$B$7)+Assumptions!$B$14-Waterfall!$C$17)/Waterfall!$B$18))</f>
        <v>1</v>
      </c>
      <c r="L10" s="57" t="n">
        <f aca="false">MAX(0,MIN(1,(($B10*Assumptions!$B$6/1000000)*(L$5-L$4)-Assumptions!$B$21*Assumptions!$B$22*MAX(0,$B10*Assumptions!$B$6/1000000*L$5-Assumptions!$B$7)+Assumptions!$B$14-Waterfall!$C$17)/Waterfall!$B$18))</f>
        <v>1</v>
      </c>
      <c r="M10" s="57" t="n">
        <f aca="false">MAX(0,MIN(1,(($B10*Assumptions!$B$6/1000000)*(M$5-M$4)-Assumptions!$B$21*Assumptions!$B$22*MAX(0,$B10*Assumptions!$B$6/1000000*M$5-Assumptions!$B$7)+Assumptions!$B$14-Waterfall!$C$17)/Waterfall!$B$18))</f>
        <v>1</v>
      </c>
      <c r="N10" s="57" t="n">
        <f aca="false">MAX(0,MIN(1,(($B10*Assumptions!$B$6/1000000)*(N$5-N$4)-Assumptions!$B$21*Assumptions!$B$22*MAX(0,$B10*Assumptions!$B$6/1000000*N$5-Assumptions!$B$7)+Assumptions!$B$14-Waterfall!$C$17)/Waterfall!$B$18))</f>
        <v>1</v>
      </c>
      <c r="O10" s="57" t="n">
        <f aca="false">MAX(0,MIN(1,(($B10*Assumptions!$B$6/1000000)*(O$5-O$4)-Assumptions!$B$21*Assumptions!$B$22*MAX(0,$B10*Assumptions!$B$6/1000000*O$5-Assumptions!$B$7)+Assumptions!$B$14-Waterfall!$C$17)/Waterfall!$B$18))</f>
        <v>1</v>
      </c>
      <c r="P10" s="57" t="n">
        <f aca="false">MAX(0,MIN(1,(($B10*Assumptions!$B$6/1000000)*(P$5-P$4)-Assumptions!$B$21*Assumptions!$B$22*MAX(0,$B10*Assumptions!$B$6/1000000*P$5-Assumptions!$B$7)+Assumptions!$B$14-Waterfall!$C$17)/Waterfall!$B$18))</f>
        <v>1</v>
      </c>
      <c r="Q10" s="57" t="n">
        <f aca="false">MAX(0,MIN(1,(($B10*Assumptions!$B$6/1000000)*(Q$5-Q$4)-Assumptions!$B$21*Assumptions!$B$22*MAX(0,$B10*Assumptions!$B$6/1000000*Q$5-Assumptions!$B$7)+Assumptions!$B$14-Waterfall!$C$17)/Waterfall!$B$18))</f>
        <v>1</v>
      </c>
    </row>
    <row r="11" customFormat="false" ht="15" hidden="false" customHeight="true" outlineLevel="0" collapsed="false">
      <c r="B11" s="39" t="n">
        <f aca="false">BTC_Sensitivity!B10</f>
        <v>40000</v>
      </c>
      <c r="C11" s="57" t="n">
        <f aca="false">MAX(0,MIN(1,(($B11*Assumptions!$B$6/1000000)*(C$5-C$4)-Assumptions!$B$21*Assumptions!$B$22*MAX(0,$B11*Assumptions!$B$6/1000000*C$5-Assumptions!$B$7)+Assumptions!$B$14-Waterfall!$C$17)/Waterfall!$B$18))</f>
        <v>1</v>
      </c>
      <c r="D11" s="57" t="n">
        <f aca="false">MAX(0,MIN(1,(($B11*Assumptions!$B$6/1000000)*(D$5-D$4)-Assumptions!$B$21*Assumptions!$B$22*MAX(0,$B11*Assumptions!$B$6/1000000*D$5-Assumptions!$B$7)+Assumptions!$B$14-Waterfall!$C$17)/Waterfall!$B$18))</f>
        <v>1</v>
      </c>
      <c r="E11" s="57" t="n">
        <f aca="false">MAX(0,MIN(1,(($B11*Assumptions!$B$6/1000000)*(E$5-E$4)-Assumptions!$B$21*Assumptions!$B$22*MAX(0,$B11*Assumptions!$B$6/1000000*E$5-Assumptions!$B$7)+Assumptions!$B$14-Waterfall!$C$17)/Waterfall!$B$18))</f>
        <v>1</v>
      </c>
      <c r="F11" s="57" t="n">
        <f aca="false">MAX(0,MIN(1,(($B11*Assumptions!$B$6/1000000)*(F$5-F$4)-Assumptions!$B$21*Assumptions!$B$22*MAX(0,$B11*Assumptions!$B$6/1000000*F$5-Assumptions!$B$7)+Assumptions!$B$14-Waterfall!$C$17)/Waterfall!$B$18))</f>
        <v>1</v>
      </c>
      <c r="G11" s="57" t="n">
        <f aca="false">MAX(0,MIN(1,(($B11*Assumptions!$B$6/1000000)*(G$5-G$4)-Assumptions!$B$21*Assumptions!$B$22*MAX(0,$B11*Assumptions!$B$6/1000000*G$5-Assumptions!$B$7)+Assumptions!$B$14-Waterfall!$C$17)/Waterfall!$B$18))</f>
        <v>1</v>
      </c>
      <c r="H11" s="57" t="n">
        <f aca="false">MAX(0,MIN(1,(($B11*Assumptions!$B$6/1000000)*(H$5-H$4)-Assumptions!$B$21*Assumptions!$B$22*MAX(0,$B11*Assumptions!$B$6/1000000*H$5-Assumptions!$B$7)+Assumptions!$B$14-Waterfall!$C$17)/Waterfall!$B$18))</f>
        <v>1</v>
      </c>
      <c r="I11" s="57" t="n">
        <f aca="false">MAX(0,MIN(1,(($B11*Assumptions!$B$6/1000000)*(I$5-I$4)-Assumptions!$B$21*Assumptions!$B$22*MAX(0,$B11*Assumptions!$B$6/1000000*I$5-Assumptions!$B$7)+Assumptions!$B$14-Waterfall!$C$17)/Waterfall!$B$18))</f>
        <v>1</v>
      </c>
      <c r="J11" s="57" t="n">
        <f aca="false">MAX(0,MIN(1,(($B11*Assumptions!$B$6/1000000)*(J$5-J$4)-Assumptions!$B$21*Assumptions!$B$22*MAX(0,$B11*Assumptions!$B$6/1000000*J$5-Assumptions!$B$7)+Assumptions!$B$14-Waterfall!$C$17)/Waterfall!$B$18))</f>
        <v>1</v>
      </c>
      <c r="K11" s="57" t="n">
        <f aca="false">MAX(0,MIN(1,(($B11*Assumptions!$B$6/1000000)*(K$5-K$4)-Assumptions!$B$21*Assumptions!$B$22*MAX(0,$B11*Assumptions!$B$6/1000000*K$5-Assumptions!$B$7)+Assumptions!$B$14-Waterfall!$C$17)/Waterfall!$B$18))</f>
        <v>1</v>
      </c>
      <c r="L11" s="57" t="n">
        <f aca="false">MAX(0,MIN(1,(($B11*Assumptions!$B$6/1000000)*(L$5-L$4)-Assumptions!$B$21*Assumptions!$B$22*MAX(0,$B11*Assumptions!$B$6/1000000*L$5-Assumptions!$B$7)+Assumptions!$B$14-Waterfall!$C$17)/Waterfall!$B$18))</f>
        <v>1</v>
      </c>
      <c r="M11" s="57" t="n">
        <f aca="false">MAX(0,MIN(1,(($B11*Assumptions!$B$6/1000000)*(M$5-M$4)-Assumptions!$B$21*Assumptions!$B$22*MAX(0,$B11*Assumptions!$B$6/1000000*M$5-Assumptions!$B$7)+Assumptions!$B$14-Waterfall!$C$17)/Waterfall!$B$18))</f>
        <v>1</v>
      </c>
      <c r="N11" s="57" t="n">
        <f aca="false">MAX(0,MIN(1,(($B11*Assumptions!$B$6/1000000)*(N$5-N$4)-Assumptions!$B$21*Assumptions!$B$22*MAX(0,$B11*Assumptions!$B$6/1000000*N$5-Assumptions!$B$7)+Assumptions!$B$14-Waterfall!$C$17)/Waterfall!$B$18))</f>
        <v>1</v>
      </c>
      <c r="O11" s="57" t="n">
        <f aca="false">MAX(0,MIN(1,(($B11*Assumptions!$B$6/1000000)*(O$5-O$4)-Assumptions!$B$21*Assumptions!$B$22*MAX(0,$B11*Assumptions!$B$6/1000000*O$5-Assumptions!$B$7)+Assumptions!$B$14-Waterfall!$C$17)/Waterfall!$B$18))</f>
        <v>1</v>
      </c>
      <c r="P11" s="57" t="n">
        <f aca="false">MAX(0,MIN(1,(($B11*Assumptions!$B$6/1000000)*(P$5-P$4)-Assumptions!$B$21*Assumptions!$B$22*MAX(0,$B11*Assumptions!$B$6/1000000*P$5-Assumptions!$B$7)+Assumptions!$B$14-Waterfall!$C$17)/Waterfall!$B$18))</f>
        <v>1</v>
      </c>
      <c r="Q11" s="57" t="n">
        <f aca="false">MAX(0,MIN(1,(($B11*Assumptions!$B$6/1000000)*(Q$5-Q$4)-Assumptions!$B$21*Assumptions!$B$22*MAX(0,$B11*Assumptions!$B$6/1000000*Q$5-Assumptions!$B$7)+Assumptions!$B$14-Waterfall!$C$17)/Waterfall!$B$18))</f>
        <v>1</v>
      </c>
    </row>
    <row r="12" customFormat="false" ht="15" hidden="false" customHeight="true" outlineLevel="0" collapsed="false">
      <c r="B12" s="39" t="n">
        <f aca="false">BTC_Sensitivity!B11</f>
        <v>45000</v>
      </c>
      <c r="C12" s="57" t="n">
        <f aca="false">MAX(0,MIN(1,(($B12*Assumptions!$B$6/1000000)*(C$5-C$4)-Assumptions!$B$21*Assumptions!$B$22*MAX(0,$B12*Assumptions!$B$6/1000000*C$5-Assumptions!$B$7)+Assumptions!$B$14-Waterfall!$C$17)/Waterfall!$B$18))</f>
        <v>1</v>
      </c>
      <c r="D12" s="57" t="n">
        <f aca="false">MAX(0,MIN(1,(($B12*Assumptions!$B$6/1000000)*(D$5-D$4)-Assumptions!$B$21*Assumptions!$B$22*MAX(0,$B12*Assumptions!$B$6/1000000*D$5-Assumptions!$B$7)+Assumptions!$B$14-Waterfall!$C$17)/Waterfall!$B$18))</f>
        <v>1</v>
      </c>
      <c r="E12" s="57" t="n">
        <f aca="false">MAX(0,MIN(1,(($B12*Assumptions!$B$6/1000000)*(E$5-E$4)-Assumptions!$B$21*Assumptions!$B$22*MAX(0,$B12*Assumptions!$B$6/1000000*E$5-Assumptions!$B$7)+Assumptions!$B$14-Waterfall!$C$17)/Waterfall!$B$18))</f>
        <v>1</v>
      </c>
      <c r="F12" s="57" t="n">
        <f aca="false">MAX(0,MIN(1,(($B12*Assumptions!$B$6/1000000)*(F$5-F$4)-Assumptions!$B$21*Assumptions!$B$22*MAX(0,$B12*Assumptions!$B$6/1000000*F$5-Assumptions!$B$7)+Assumptions!$B$14-Waterfall!$C$17)/Waterfall!$B$18))</f>
        <v>1</v>
      </c>
      <c r="G12" s="57" t="n">
        <f aca="false">MAX(0,MIN(1,(($B12*Assumptions!$B$6/1000000)*(G$5-G$4)-Assumptions!$B$21*Assumptions!$B$22*MAX(0,$B12*Assumptions!$B$6/1000000*G$5-Assumptions!$B$7)+Assumptions!$B$14-Waterfall!$C$17)/Waterfall!$B$18))</f>
        <v>1</v>
      </c>
      <c r="H12" s="57" t="n">
        <f aca="false">MAX(0,MIN(1,(($B12*Assumptions!$B$6/1000000)*(H$5-H$4)-Assumptions!$B$21*Assumptions!$B$22*MAX(0,$B12*Assumptions!$B$6/1000000*H$5-Assumptions!$B$7)+Assumptions!$B$14-Waterfall!$C$17)/Waterfall!$B$18))</f>
        <v>1</v>
      </c>
      <c r="I12" s="57" t="n">
        <f aca="false">MAX(0,MIN(1,(($B12*Assumptions!$B$6/1000000)*(I$5-I$4)-Assumptions!$B$21*Assumptions!$B$22*MAX(0,$B12*Assumptions!$B$6/1000000*I$5-Assumptions!$B$7)+Assumptions!$B$14-Waterfall!$C$17)/Waterfall!$B$18))</f>
        <v>1</v>
      </c>
      <c r="J12" s="57" t="n">
        <f aca="false">MAX(0,MIN(1,(($B12*Assumptions!$B$6/1000000)*(J$5-J$4)-Assumptions!$B$21*Assumptions!$B$22*MAX(0,$B12*Assumptions!$B$6/1000000*J$5-Assumptions!$B$7)+Assumptions!$B$14-Waterfall!$C$17)/Waterfall!$B$18))</f>
        <v>1</v>
      </c>
      <c r="K12" s="57" t="n">
        <f aca="false">MAX(0,MIN(1,(($B12*Assumptions!$B$6/1000000)*(K$5-K$4)-Assumptions!$B$21*Assumptions!$B$22*MAX(0,$B12*Assumptions!$B$6/1000000*K$5-Assumptions!$B$7)+Assumptions!$B$14-Waterfall!$C$17)/Waterfall!$B$18))</f>
        <v>1</v>
      </c>
      <c r="L12" s="57" t="n">
        <f aca="false">MAX(0,MIN(1,(($B12*Assumptions!$B$6/1000000)*(L$5-L$4)-Assumptions!$B$21*Assumptions!$B$22*MAX(0,$B12*Assumptions!$B$6/1000000*L$5-Assumptions!$B$7)+Assumptions!$B$14-Waterfall!$C$17)/Waterfall!$B$18))</f>
        <v>1</v>
      </c>
      <c r="M12" s="57" t="n">
        <f aca="false">MAX(0,MIN(1,(($B12*Assumptions!$B$6/1000000)*(M$5-M$4)-Assumptions!$B$21*Assumptions!$B$22*MAX(0,$B12*Assumptions!$B$6/1000000*M$5-Assumptions!$B$7)+Assumptions!$B$14-Waterfall!$C$17)/Waterfall!$B$18))</f>
        <v>1</v>
      </c>
      <c r="N12" s="57" t="n">
        <f aca="false">MAX(0,MIN(1,(($B12*Assumptions!$B$6/1000000)*(N$5-N$4)-Assumptions!$B$21*Assumptions!$B$22*MAX(0,$B12*Assumptions!$B$6/1000000*N$5-Assumptions!$B$7)+Assumptions!$B$14-Waterfall!$C$17)/Waterfall!$B$18))</f>
        <v>1</v>
      </c>
      <c r="O12" s="57" t="n">
        <f aca="false">MAX(0,MIN(1,(($B12*Assumptions!$B$6/1000000)*(O$5-O$4)-Assumptions!$B$21*Assumptions!$B$22*MAX(0,$B12*Assumptions!$B$6/1000000*O$5-Assumptions!$B$7)+Assumptions!$B$14-Waterfall!$C$17)/Waterfall!$B$18))</f>
        <v>1</v>
      </c>
      <c r="P12" s="57" t="n">
        <f aca="false">MAX(0,MIN(1,(($B12*Assumptions!$B$6/1000000)*(P$5-P$4)-Assumptions!$B$21*Assumptions!$B$22*MAX(0,$B12*Assumptions!$B$6/1000000*P$5-Assumptions!$B$7)+Assumptions!$B$14-Waterfall!$C$17)/Waterfall!$B$18))</f>
        <v>1</v>
      </c>
      <c r="Q12" s="57" t="n">
        <f aca="false">MAX(0,MIN(1,(($B12*Assumptions!$B$6/1000000)*(Q$5-Q$4)-Assumptions!$B$21*Assumptions!$B$22*MAX(0,$B12*Assumptions!$B$6/1000000*Q$5-Assumptions!$B$7)+Assumptions!$B$14-Waterfall!$C$17)/Waterfall!$B$18))</f>
        <v>1</v>
      </c>
    </row>
    <row r="13" customFormat="false" ht="15" hidden="false" customHeight="true" outlineLevel="0" collapsed="false">
      <c r="B13" s="39" t="n">
        <f aca="false">BTC_Sensitivity!B12</f>
        <v>50000</v>
      </c>
      <c r="C13" s="57" t="n">
        <f aca="false">MAX(0,MIN(1,(($B13*Assumptions!$B$6/1000000)*(C$5-C$4)-Assumptions!$B$21*Assumptions!$B$22*MAX(0,$B13*Assumptions!$B$6/1000000*C$5-Assumptions!$B$7)+Assumptions!$B$14-Waterfall!$C$17)/Waterfall!$B$18))</f>
        <v>1</v>
      </c>
      <c r="D13" s="57" t="n">
        <f aca="false">MAX(0,MIN(1,(($B13*Assumptions!$B$6/1000000)*(D$5-D$4)-Assumptions!$B$21*Assumptions!$B$22*MAX(0,$B13*Assumptions!$B$6/1000000*D$5-Assumptions!$B$7)+Assumptions!$B$14-Waterfall!$C$17)/Waterfall!$B$18))</f>
        <v>1</v>
      </c>
      <c r="E13" s="57" t="n">
        <f aca="false">MAX(0,MIN(1,(($B13*Assumptions!$B$6/1000000)*(E$5-E$4)-Assumptions!$B$21*Assumptions!$B$22*MAX(0,$B13*Assumptions!$B$6/1000000*E$5-Assumptions!$B$7)+Assumptions!$B$14-Waterfall!$C$17)/Waterfall!$B$18))</f>
        <v>1</v>
      </c>
      <c r="F13" s="57" t="n">
        <f aca="false">MAX(0,MIN(1,(($B13*Assumptions!$B$6/1000000)*(F$5-F$4)-Assumptions!$B$21*Assumptions!$B$22*MAX(0,$B13*Assumptions!$B$6/1000000*F$5-Assumptions!$B$7)+Assumptions!$B$14-Waterfall!$C$17)/Waterfall!$B$18))</f>
        <v>1</v>
      </c>
      <c r="G13" s="57" t="n">
        <f aca="false">MAX(0,MIN(1,(($B13*Assumptions!$B$6/1000000)*(G$5-G$4)-Assumptions!$B$21*Assumptions!$B$22*MAX(0,$B13*Assumptions!$B$6/1000000*G$5-Assumptions!$B$7)+Assumptions!$B$14-Waterfall!$C$17)/Waterfall!$B$18))</f>
        <v>1</v>
      </c>
      <c r="H13" s="57" t="n">
        <f aca="false">MAX(0,MIN(1,(($B13*Assumptions!$B$6/1000000)*(H$5-H$4)-Assumptions!$B$21*Assumptions!$B$22*MAX(0,$B13*Assumptions!$B$6/1000000*H$5-Assumptions!$B$7)+Assumptions!$B$14-Waterfall!$C$17)/Waterfall!$B$18))</f>
        <v>1</v>
      </c>
      <c r="I13" s="57" t="n">
        <f aca="false">MAX(0,MIN(1,(($B13*Assumptions!$B$6/1000000)*(I$5-I$4)-Assumptions!$B$21*Assumptions!$B$22*MAX(0,$B13*Assumptions!$B$6/1000000*I$5-Assumptions!$B$7)+Assumptions!$B$14-Waterfall!$C$17)/Waterfall!$B$18))</f>
        <v>1</v>
      </c>
      <c r="J13" s="57" t="n">
        <f aca="false">MAX(0,MIN(1,(($B13*Assumptions!$B$6/1000000)*(J$5-J$4)-Assumptions!$B$21*Assumptions!$B$22*MAX(0,$B13*Assumptions!$B$6/1000000*J$5-Assumptions!$B$7)+Assumptions!$B$14-Waterfall!$C$17)/Waterfall!$B$18))</f>
        <v>1</v>
      </c>
      <c r="K13" s="57" t="n">
        <f aca="false">MAX(0,MIN(1,(($B13*Assumptions!$B$6/1000000)*(K$5-K$4)-Assumptions!$B$21*Assumptions!$B$22*MAX(0,$B13*Assumptions!$B$6/1000000*K$5-Assumptions!$B$7)+Assumptions!$B$14-Waterfall!$C$17)/Waterfall!$B$18))</f>
        <v>1</v>
      </c>
      <c r="L13" s="57" t="n">
        <f aca="false">MAX(0,MIN(1,(($B13*Assumptions!$B$6/1000000)*(L$5-L$4)-Assumptions!$B$21*Assumptions!$B$22*MAX(0,$B13*Assumptions!$B$6/1000000*L$5-Assumptions!$B$7)+Assumptions!$B$14-Waterfall!$C$17)/Waterfall!$B$18))</f>
        <v>1</v>
      </c>
      <c r="M13" s="57" t="n">
        <f aca="false">MAX(0,MIN(1,(($B13*Assumptions!$B$6/1000000)*(M$5-M$4)-Assumptions!$B$21*Assumptions!$B$22*MAX(0,$B13*Assumptions!$B$6/1000000*M$5-Assumptions!$B$7)+Assumptions!$B$14-Waterfall!$C$17)/Waterfall!$B$18))</f>
        <v>1</v>
      </c>
      <c r="N13" s="57" t="n">
        <f aca="false">MAX(0,MIN(1,(($B13*Assumptions!$B$6/1000000)*(N$5-N$4)-Assumptions!$B$21*Assumptions!$B$22*MAX(0,$B13*Assumptions!$B$6/1000000*N$5-Assumptions!$B$7)+Assumptions!$B$14-Waterfall!$C$17)/Waterfall!$B$18))</f>
        <v>1</v>
      </c>
      <c r="O13" s="57" t="n">
        <f aca="false">MAX(0,MIN(1,(($B13*Assumptions!$B$6/1000000)*(O$5-O$4)-Assumptions!$B$21*Assumptions!$B$22*MAX(0,$B13*Assumptions!$B$6/1000000*O$5-Assumptions!$B$7)+Assumptions!$B$14-Waterfall!$C$17)/Waterfall!$B$18))</f>
        <v>1</v>
      </c>
      <c r="P13" s="57" t="n">
        <f aca="false">MAX(0,MIN(1,(($B13*Assumptions!$B$6/1000000)*(P$5-P$4)-Assumptions!$B$21*Assumptions!$B$22*MAX(0,$B13*Assumptions!$B$6/1000000*P$5-Assumptions!$B$7)+Assumptions!$B$14-Waterfall!$C$17)/Waterfall!$B$18))</f>
        <v>1</v>
      </c>
      <c r="Q13" s="57" t="n">
        <f aca="false">MAX(0,MIN(1,(($B13*Assumptions!$B$6/1000000)*(Q$5-Q$4)-Assumptions!$B$21*Assumptions!$B$22*MAX(0,$B13*Assumptions!$B$6/1000000*Q$5-Assumptions!$B$7)+Assumptions!$B$14-Waterfall!$C$17)/Waterfall!$B$18))</f>
        <v>1</v>
      </c>
    </row>
    <row r="14" customFormat="false" ht="15" hidden="false" customHeight="true" outlineLevel="0" collapsed="false">
      <c r="B14" s="39" t="n">
        <f aca="false">BTC_Sensitivity!B13</f>
        <v>55000</v>
      </c>
      <c r="C14" s="57" t="n">
        <f aca="false">MAX(0,MIN(1,(($B14*Assumptions!$B$6/1000000)*(C$5-C$4)-Assumptions!$B$21*Assumptions!$B$22*MAX(0,$B14*Assumptions!$B$6/1000000*C$5-Assumptions!$B$7)+Assumptions!$B$14-Waterfall!$C$17)/Waterfall!$B$18))</f>
        <v>1</v>
      </c>
      <c r="D14" s="57" t="n">
        <f aca="false">MAX(0,MIN(1,(($B14*Assumptions!$B$6/1000000)*(D$5-D$4)-Assumptions!$B$21*Assumptions!$B$22*MAX(0,$B14*Assumptions!$B$6/1000000*D$5-Assumptions!$B$7)+Assumptions!$B$14-Waterfall!$C$17)/Waterfall!$B$18))</f>
        <v>1</v>
      </c>
      <c r="E14" s="57" t="n">
        <f aca="false">MAX(0,MIN(1,(($B14*Assumptions!$B$6/1000000)*(E$5-E$4)-Assumptions!$B$21*Assumptions!$B$22*MAX(0,$B14*Assumptions!$B$6/1000000*E$5-Assumptions!$B$7)+Assumptions!$B$14-Waterfall!$C$17)/Waterfall!$B$18))</f>
        <v>1</v>
      </c>
      <c r="F14" s="57" t="n">
        <f aca="false">MAX(0,MIN(1,(($B14*Assumptions!$B$6/1000000)*(F$5-F$4)-Assumptions!$B$21*Assumptions!$B$22*MAX(0,$B14*Assumptions!$B$6/1000000*F$5-Assumptions!$B$7)+Assumptions!$B$14-Waterfall!$C$17)/Waterfall!$B$18))</f>
        <v>1</v>
      </c>
      <c r="G14" s="57" t="n">
        <f aca="false">MAX(0,MIN(1,(($B14*Assumptions!$B$6/1000000)*(G$5-G$4)-Assumptions!$B$21*Assumptions!$B$22*MAX(0,$B14*Assumptions!$B$6/1000000*G$5-Assumptions!$B$7)+Assumptions!$B$14-Waterfall!$C$17)/Waterfall!$B$18))</f>
        <v>1</v>
      </c>
      <c r="H14" s="57" t="n">
        <f aca="false">MAX(0,MIN(1,(($B14*Assumptions!$B$6/1000000)*(H$5-H$4)-Assumptions!$B$21*Assumptions!$B$22*MAX(0,$B14*Assumptions!$B$6/1000000*H$5-Assumptions!$B$7)+Assumptions!$B$14-Waterfall!$C$17)/Waterfall!$B$18))</f>
        <v>1</v>
      </c>
      <c r="I14" s="57" t="n">
        <f aca="false">MAX(0,MIN(1,(($B14*Assumptions!$B$6/1000000)*(I$5-I$4)-Assumptions!$B$21*Assumptions!$B$22*MAX(0,$B14*Assumptions!$B$6/1000000*I$5-Assumptions!$B$7)+Assumptions!$B$14-Waterfall!$C$17)/Waterfall!$B$18))</f>
        <v>1</v>
      </c>
      <c r="J14" s="57" t="n">
        <f aca="false">MAX(0,MIN(1,(($B14*Assumptions!$B$6/1000000)*(J$5-J$4)-Assumptions!$B$21*Assumptions!$B$22*MAX(0,$B14*Assumptions!$B$6/1000000*J$5-Assumptions!$B$7)+Assumptions!$B$14-Waterfall!$C$17)/Waterfall!$B$18))</f>
        <v>1</v>
      </c>
      <c r="K14" s="57" t="n">
        <f aca="false">MAX(0,MIN(1,(($B14*Assumptions!$B$6/1000000)*(K$5-K$4)-Assumptions!$B$21*Assumptions!$B$22*MAX(0,$B14*Assumptions!$B$6/1000000*K$5-Assumptions!$B$7)+Assumptions!$B$14-Waterfall!$C$17)/Waterfall!$B$18))</f>
        <v>1</v>
      </c>
      <c r="L14" s="57" t="n">
        <f aca="false">MAX(0,MIN(1,(($B14*Assumptions!$B$6/1000000)*(L$5-L$4)-Assumptions!$B$21*Assumptions!$B$22*MAX(0,$B14*Assumptions!$B$6/1000000*L$5-Assumptions!$B$7)+Assumptions!$B$14-Waterfall!$C$17)/Waterfall!$B$18))</f>
        <v>1</v>
      </c>
      <c r="M14" s="57" t="n">
        <f aca="false">MAX(0,MIN(1,(($B14*Assumptions!$B$6/1000000)*(M$5-M$4)-Assumptions!$B$21*Assumptions!$B$22*MAX(0,$B14*Assumptions!$B$6/1000000*M$5-Assumptions!$B$7)+Assumptions!$B$14-Waterfall!$C$17)/Waterfall!$B$18))</f>
        <v>1</v>
      </c>
      <c r="N14" s="57" t="n">
        <f aca="false">MAX(0,MIN(1,(($B14*Assumptions!$B$6/1000000)*(N$5-N$4)-Assumptions!$B$21*Assumptions!$B$22*MAX(0,$B14*Assumptions!$B$6/1000000*N$5-Assumptions!$B$7)+Assumptions!$B$14-Waterfall!$C$17)/Waterfall!$B$18))</f>
        <v>1</v>
      </c>
      <c r="O14" s="57" t="n">
        <f aca="false">MAX(0,MIN(1,(($B14*Assumptions!$B$6/1000000)*(O$5-O$4)-Assumptions!$B$21*Assumptions!$B$22*MAX(0,$B14*Assumptions!$B$6/1000000*O$5-Assumptions!$B$7)+Assumptions!$B$14-Waterfall!$C$17)/Waterfall!$B$18))</f>
        <v>1</v>
      </c>
      <c r="P14" s="57" t="n">
        <f aca="false">MAX(0,MIN(1,(($B14*Assumptions!$B$6/1000000)*(P$5-P$4)-Assumptions!$B$21*Assumptions!$B$22*MAX(0,$B14*Assumptions!$B$6/1000000*P$5-Assumptions!$B$7)+Assumptions!$B$14-Waterfall!$C$17)/Waterfall!$B$18))</f>
        <v>1</v>
      </c>
      <c r="Q14" s="57" t="n">
        <f aca="false">MAX(0,MIN(1,(($B14*Assumptions!$B$6/1000000)*(Q$5-Q$4)-Assumptions!$B$21*Assumptions!$B$22*MAX(0,$B14*Assumptions!$B$6/1000000*Q$5-Assumptions!$B$7)+Assumptions!$B$14-Waterfall!$C$17)/Waterfall!$B$18))</f>
        <v>1</v>
      </c>
    </row>
    <row r="15" customFormat="false" ht="15" hidden="false" customHeight="true" outlineLevel="0" collapsed="false">
      <c r="B15" s="39" t="n">
        <f aca="false">BTC_Sensitivity!B14</f>
        <v>60000</v>
      </c>
      <c r="C15" s="57" t="n">
        <f aca="false">MAX(0,MIN(1,(($B15*Assumptions!$B$6/1000000)*(C$5-C$4)-Assumptions!$B$21*Assumptions!$B$22*MAX(0,$B15*Assumptions!$B$6/1000000*C$5-Assumptions!$B$7)+Assumptions!$B$14-Waterfall!$C$17)/Waterfall!$B$18))</f>
        <v>1</v>
      </c>
      <c r="D15" s="57" t="n">
        <f aca="false">MAX(0,MIN(1,(($B15*Assumptions!$B$6/1000000)*(D$5-D$4)-Assumptions!$B$21*Assumptions!$B$22*MAX(0,$B15*Assumptions!$B$6/1000000*D$5-Assumptions!$B$7)+Assumptions!$B$14-Waterfall!$C$17)/Waterfall!$B$18))</f>
        <v>1</v>
      </c>
      <c r="E15" s="57" t="n">
        <f aca="false">MAX(0,MIN(1,(($B15*Assumptions!$B$6/1000000)*(E$5-E$4)-Assumptions!$B$21*Assumptions!$B$22*MAX(0,$B15*Assumptions!$B$6/1000000*E$5-Assumptions!$B$7)+Assumptions!$B$14-Waterfall!$C$17)/Waterfall!$B$18))</f>
        <v>1</v>
      </c>
      <c r="F15" s="57" t="n">
        <f aca="false">MAX(0,MIN(1,(($B15*Assumptions!$B$6/1000000)*(F$5-F$4)-Assumptions!$B$21*Assumptions!$B$22*MAX(0,$B15*Assumptions!$B$6/1000000*F$5-Assumptions!$B$7)+Assumptions!$B$14-Waterfall!$C$17)/Waterfall!$B$18))</f>
        <v>1</v>
      </c>
      <c r="G15" s="57" t="n">
        <f aca="false">MAX(0,MIN(1,(($B15*Assumptions!$B$6/1000000)*(G$5-G$4)-Assumptions!$B$21*Assumptions!$B$22*MAX(0,$B15*Assumptions!$B$6/1000000*G$5-Assumptions!$B$7)+Assumptions!$B$14-Waterfall!$C$17)/Waterfall!$B$18))</f>
        <v>1</v>
      </c>
      <c r="H15" s="57" t="n">
        <f aca="false">MAX(0,MIN(1,(($B15*Assumptions!$B$6/1000000)*(H$5-H$4)-Assumptions!$B$21*Assumptions!$B$22*MAX(0,$B15*Assumptions!$B$6/1000000*H$5-Assumptions!$B$7)+Assumptions!$B$14-Waterfall!$C$17)/Waterfall!$B$18))</f>
        <v>1</v>
      </c>
      <c r="I15" s="57" t="n">
        <f aca="false">MAX(0,MIN(1,(($B15*Assumptions!$B$6/1000000)*(I$5-I$4)-Assumptions!$B$21*Assumptions!$B$22*MAX(0,$B15*Assumptions!$B$6/1000000*I$5-Assumptions!$B$7)+Assumptions!$B$14-Waterfall!$C$17)/Waterfall!$B$18))</f>
        <v>1</v>
      </c>
      <c r="J15" s="57" t="n">
        <f aca="false">MAX(0,MIN(1,(($B15*Assumptions!$B$6/1000000)*(J$5-J$4)-Assumptions!$B$21*Assumptions!$B$22*MAX(0,$B15*Assumptions!$B$6/1000000*J$5-Assumptions!$B$7)+Assumptions!$B$14-Waterfall!$C$17)/Waterfall!$B$18))</f>
        <v>1</v>
      </c>
      <c r="K15" s="57" t="n">
        <f aca="false">MAX(0,MIN(1,(($B15*Assumptions!$B$6/1000000)*(K$5-K$4)-Assumptions!$B$21*Assumptions!$B$22*MAX(0,$B15*Assumptions!$B$6/1000000*K$5-Assumptions!$B$7)+Assumptions!$B$14-Waterfall!$C$17)/Waterfall!$B$18))</f>
        <v>1</v>
      </c>
      <c r="L15" s="57" t="n">
        <f aca="false">MAX(0,MIN(1,(($B15*Assumptions!$B$6/1000000)*(L$5-L$4)-Assumptions!$B$21*Assumptions!$B$22*MAX(0,$B15*Assumptions!$B$6/1000000*L$5-Assumptions!$B$7)+Assumptions!$B$14-Waterfall!$C$17)/Waterfall!$B$18))</f>
        <v>1</v>
      </c>
      <c r="M15" s="57" t="n">
        <f aca="false">MAX(0,MIN(1,(($B15*Assumptions!$B$6/1000000)*(M$5-M$4)-Assumptions!$B$21*Assumptions!$B$22*MAX(0,$B15*Assumptions!$B$6/1000000*M$5-Assumptions!$B$7)+Assumptions!$B$14-Waterfall!$C$17)/Waterfall!$B$18))</f>
        <v>1</v>
      </c>
      <c r="N15" s="57" t="n">
        <f aca="false">MAX(0,MIN(1,(($B15*Assumptions!$B$6/1000000)*(N$5-N$4)-Assumptions!$B$21*Assumptions!$B$22*MAX(0,$B15*Assumptions!$B$6/1000000*N$5-Assumptions!$B$7)+Assumptions!$B$14-Waterfall!$C$17)/Waterfall!$B$18))</f>
        <v>1</v>
      </c>
      <c r="O15" s="57" t="n">
        <f aca="false">MAX(0,MIN(1,(($B15*Assumptions!$B$6/1000000)*(O$5-O$4)-Assumptions!$B$21*Assumptions!$B$22*MAX(0,$B15*Assumptions!$B$6/1000000*O$5-Assumptions!$B$7)+Assumptions!$B$14-Waterfall!$C$17)/Waterfall!$B$18))</f>
        <v>1</v>
      </c>
      <c r="P15" s="57" t="n">
        <f aca="false">MAX(0,MIN(1,(($B15*Assumptions!$B$6/1000000)*(P$5-P$4)-Assumptions!$B$21*Assumptions!$B$22*MAX(0,$B15*Assumptions!$B$6/1000000*P$5-Assumptions!$B$7)+Assumptions!$B$14-Waterfall!$C$17)/Waterfall!$B$18))</f>
        <v>1</v>
      </c>
      <c r="Q15" s="57" t="n">
        <f aca="false">MAX(0,MIN(1,(($B15*Assumptions!$B$6/1000000)*(Q$5-Q$4)-Assumptions!$B$21*Assumptions!$B$22*MAX(0,$B15*Assumptions!$B$6/1000000*Q$5-Assumptions!$B$7)+Assumptions!$B$14-Waterfall!$C$17)/Waterfall!$B$18))</f>
        <v>1</v>
      </c>
    </row>
    <row r="16" customFormat="false" ht="15" hidden="false" customHeight="true" outlineLevel="0" collapsed="false">
      <c r="B16" s="39" t="n">
        <f aca="false">BTC_Sensitivity!B15</f>
        <v>65000</v>
      </c>
      <c r="C16" s="57" t="n">
        <f aca="false">MAX(0,MIN(1,(($B16*Assumptions!$B$6/1000000)*(C$5-C$4)-Assumptions!$B$21*Assumptions!$B$22*MAX(0,$B16*Assumptions!$B$6/1000000*C$5-Assumptions!$B$7)+Assumptions!$B$14-Waterfall!$C$17)/Waterfall!$B$18))</f>
        <v>1</v>
      </c>
      <c r="D16" s="57" t="n">
        <f aca="false">MAX(0,MIN(1,(($B16*Assumptions!$B$6/1000000)*(D$5-D$4)-Assumptions!$B$21*Assumptions!$B$22*MAX(0,$B16*Assumptions!$B$6/1000000*D$5-Assumptions!$B$7)+Assumptions!$B$14-Waterfall!$C$17)/Waterfall!$B$18))</f>
        <v>1</v>
      </c>
      <c r="E16" s="57" t="n">
        <f aca="false">MAX(0,MIN(1,(($B16*Assumptions!$B$6/1000000)*(E$5-E$4)-Assumptions!$B$21*Assumptions!$B$22*MAX(0,$B16*Assumptions!$B$6/1000000*E$5-Assumptions!$B$7)+Assumptions!$B$14-Waterfall!$C$17)/Waterfall!$B$18))</f>
        <v>1</v>
      </c>
      <c r="F16" s="57" t="n">
        <f aca="false">MAX(0,MIN(1,(($B16*Assumptions!$B$6/1000000)*(F$5-F$4)-Assumptions!$B$21*Assumptions!$B$22*MAX(0,$B16*Assumptions!$B$6/1000000*F$5-Assumptions!$B$7)+Assumptions!$B$14-Waterfall!$C$17)/Waterfall!$B$18))</f>
        <v>1</v>
      </c>
      <c r="G16" s="57" t="n">
        <f aca="false">MAX(0,MIN(1,(($B16*Assumptions!$B$6/1000000)*(G$5-G$4)-Assumptions!$B$21*Assumptions!$B$22*MAX(0,$B16*Assumptions!$B$6/1000000*G$5-Assumptions!$B$7)+Assumptions!$B$14-Waterfall!$C$17)/Waterfall!$B$18))</f>
        <v>1</v>
      </c>
      <c r="H16" s="57" t="n">
        <f aca="false">MAX(0,MIN(1,(($B16*Assumptions!$B$6/1000000)*(H$5-H$4)-Assumptions!$B$21*Assumptions!$B$22*MAX(0,$B16*Assumptions!$B$6/1000000*H$5-Assumptions!$B$7)+Assumptions!$B$14-Waterfall!$C$17)/Waterfall!$B$18))</f>
        <v>1</v>
      </c>
      <c r="I16" s="57" t="n">
        <f aca="false">MAX(0,MIN(1,(($B16*Assumptions!$B$6/1000000)*(I$5-I$4)-Assumptions!$B$21*Assumptions!$B$22*MAX(0,$B16*Assumptions!$B$6/1000000*I$5-Assumptions!$B$7)+Assumptions!$B$14-Waterfall!$C$17)/Waterfall!$B$18))</f>
        <v>1</v>
      </c>
      <c r="J16" s="57" t="n">
        <f aca="false">MAX(0,MIN(1,(($B16*Assumptions!$B$6/1000000)*(J$5-J$4)-Assumptions!$B$21*Assumptions!$B$22*MAX(0,$B16*Assumptions!$B$6/1000000*J$5-Assumptions!$B$7)+Assumptions!$B$14-Waterfall!$C$17)/Waterfall!$B$18))</f>
        <v>1</v>
      </c>
      <c r="K16" s="57" t="n">
        <f aca="false">MAX(0,MIN(1,(($B16*Assumptions!$B$6/1000000)*(K$5-K$4)-Assumptions!$B$21*Assumptions!$B$22*MAX(0,$B16*Assumptions!$B$6/1000000*K$5-Assumptions!$B$7)+Assumptions!$B$14-Waterfall!$C$17)/Waterfall!$B$18))</f>
        <v>1</v>
      </c>
      <c r="L16" s="57" t="n">
        <f aca="false">MAX(0,MIN(1,(($B16*Assumptions!$B$6/1000000)*(L$5-L$4)-Assumptions!$B$21*Assumptions!$B$22*MAX(0,$B16*Assumptions!$B$6/1000000*L$5-Assumptions!$B$7)+Assumptions!$B$14-Waterfall!$C$17)/Waterfall!$B$18))</f>
        <v>1</v>
      </c>
      <c r="M16" s="57" t="n">
        <f aca="false">MAX(0,MIN(1,(($B16*Assumptions!$B$6/1000000)*(M$5-M$4)-Assumptions!$B$21*Assumptions!$B$22*MAX(0,$B16*Assumptions!$B$6/1000000*M$5-Assumptions!$B$7)+Assumptions!$B$14-Waterfall!$C$17)/Waterfall!$B$18))</f>
        <v>1</v>
      </c>
      <c r="N16" s="57" t="n">
        <f aca="false">MAX(0,MIN(1,(($B16*Assumptions!$B$6/1000000)*(N$5-N$4)-Assumptions!$B$21*Assumptions!$B$22*MAX(0,$B16*Assumptions!$B$6/1000000*N$5-Assumptions!$B$7)+Assumptions!$B$14-Waterfall!$C$17)/Waterfall!$B$18))</f>
        <v>1</v>
      </c>
      <c r="O16" s="57" t="n">
        <f aca="false">MAX(0,MIN(1,(($B16*Assumptions!$B$6/1000000)*(O$5-O$4)-Assumptions!$B$21*Assumptions!$B$22*MAX(0,$B16*Assumptions!$B$6/1000000*O$5-Assumptions!$B$7)+Assumptions!$B$14-Waterfall!$C$17)/Waterfall!$B$18))</f>
        <v>1</v>
      </c>
      <c r="P16" s="57" t="n">
        <f aca="false">MAX(0,MIN(1,(($B16*Assumptions!$B$6/1000000)*(P$5-P$4)-Assumptions!$B$21*Assumptions!$B$22*MAX(0,$B16*Assumptions!$B$6/1000000*P$5-Assumptions!$B$7)+Assumptions!$B$14-Waterfall!$C$17)/Waterfall!$B$18))</f>
        <v>1</v>
      </c>
      <c r="Q16" s="57" t="n">
        <f aca="false">MAX(0,MIN(1,(($B16*Assumptions!$B$6/1000000)*(Q$5-Q$4)-Assumptions!$B$21*Assumptions!$B$22*MAX(0,$B16*Assumptions!$B$6/1000000*Q$5-Assumptions!$B$7)+Assumptions!$B$14-Waterfall!$C$17)/Waterfall!$B$18))</f>
        <v>1</v>
      </c>
    </row>
    <row r="17" customFormat="false" ht="15" hidden="false" customHeight="true" outlineLevel="0" collapsed="false">
      <c r="B17" s="39" t="n">
        <f aca="false">BTC_Sensitivity!B16</f>
        <v>70000</v>
      </c>
      <c r="C17" s="57" t="n">
        <f aca="false">MAX(0,MIN(1,(($B17*Assumptions!$B$6/1000000)*(C$5-C$4)-Assumptions!$B$21*Assumptions!$B$22*MAX(0,$B17*Assumptions!$B$6/1000000*C$5-Assumptions!$B$7)+Assumptions!$B$14-Waterfall!$C$17)/Waterfall!$B$18))</f>
        <v>1</v>
      </c>
      <c r="D17" s="57" t="n">
        <f aca="false">MAX(0,MIN(1,(($B17*Assumptions!$B$6/1000000)*(D$5-D$4)-Assumptions!$B$21*Assumptions!$B$22*MAX(0,$B17*Assumptions!$B$6/1000000*D$5-Assumptions!$B$7)+Assumptions!$B$14-Waterfall!$C$17)/Waterfall!$B$18))</f>
        <v>1</v>
      </c>
      <c r="E17" s="57" t="n">
        <f aca="false">MAX(0,MIN(1,(($B17*Assumptions!$B$6/1000000)*(E$5-E$4)-Assumptions!$B$21*Assumptions!$B$22*MAX(0,$B17*Assumptions!$B$6/1000000*E$5-Assumptions!$B$7)+Assumptions!$B$14-Waterfall!$C$17)/Waterfall!$B$18))</f>
        <v>1</v>
      </c>
      <c r="F17" s="57" t="n">
        <f aca="false">MAX(0,MIN(1,(($B17*Assumptions!$B$6/1000000)*(F$5-F$4)-Assumptions!$B$21*Assumptions!$B$22*MAX(0,$B17*Assumptions!$B$6/1000000*F$5-Assumptions!$B$7)+Assumptions!$B$14-Waterfall!$C$17)/Waterfall!$B$18))</f>
        <v>1</v>
      </c>
      <c r="G17" s="57" t="n">
        <f aca="false">MAX(0,MIN(1,(($B17*Assumptions!$B$6/1000000)*(G$5-G$4)-Assumptions!$B$21*Assumptions!$B$22*MAX(0,$B17*Assumptions!$B$6/1000000*G$5-Assumptions!$B$7)+Assumptions!$B$14-Waterfall!$C$17)/Waterfall!$B$18))</f>
        <v>1</v>
      </c>
      <c r="H17" s="57" t="n">
        <f aca="false">MAX(0,MIN(1,(($B17*Assumptions!$B$6/1000000)*(H$5-H$4)-Assumptions!$B$21*Assumptions!$B$22*MAX(0,$B17*Assumptions!$B$6/1000000*H$5-Assumptions!$B$7)+Assumptions!$B$14-Waterfall!$C$17)/Waterfall!$B$18))</f>
        <v>1</v>
      </c>
      <c r="I17" s="57" t="n">
        <f aca="false">MAX(0,MIN(1,(($B17*Assumptions!$B$6/1000000)*(I$5-I$4)-Assumptions!$B$21*Assumptions!$B$22*MAX(0,$B17*Assumptions!$B$6/1000000*I$5-Assumptions!$B$7)+Assumptions!$B$14-Waterfall!$C$17)/Waterfall!$B$18))</f>
        <v>1</v>
      </c>
      <c r="J17" s="57" t="n">
        <f aca="false">MAX(0,MIN(1,(($B17*Assumptions!$B$6/1000000)*(J$5-J$4)-Assumptions!$B$21*Assumptions!$B$22*MAX(0,$B17*Assumptions!$B$6/1000000*J$5-Assumptions!$B$7)+Assumptions!$B$14-Waterfall!$C$17)/Waterfall!$B$18))</f>
        <v>1</v>
      </c>
      <c r="K17" s="57" t="n">
        <f aca="false">MAX(0,MIN(1,(($B17*Assumptions!$B$6/1000000)*(K$5-K$4)-Assumptions!$B$21*Assumptions!$B$22*MAX(0,$B17*Assumptions!$B$6/1000000*K$5-Assumptions!$B$7)+Assumptions!$B$14-Waterfall!$C$17)/Waterfall!$B$18))</f>
        <v>1</v>
      </c>
      <c r="L17" s="57" t="n">
        <f aca="false">MAX(0,MIN(1,(($B17*Assumptions!$B$6/1000000)*(L$5-L$4)-Assumptions!$B$21*Assumptions!$B$22*MAX(0,$B17*Assumptions!$B$6/1000000*L$5-Assumptions!$B$7)+Assumptions!$B$14-Waterfall!$C$17)/Waterfall!$B$18))</f>
        <v>1</v>
      </c>
      <c r="M17" s="57" t="n">
        <f aca="false">MAX(0,MIN(1,(($B17*Assumptions!$B$6/1000000)*(M$5-M$4)-Assumptions!$B$21*Assumptions!$B$22*MAX(0,$B17*Assumptions!$B$6/1000000*M$5-Assumptions!$B$7)+Assumptions!$B$14-Waterfall!$C$17)/Waterfall!$B$18))</f>
        <v>1</v>
      </c>
      <c r="N17" s="57" t="n">
        <f aca="false">MAX(0,MIN(1,(($B17*Assumptions!$B$6/1000000)*(N$5-N$4)-Assumptions!$B$21*Assumptions!$B$22*MAX(0,$B17*Assumptions!$B$6/1000000*N$5-Assumptions!$B$7)+Assumptions!$B$14-Waterfall!$C$17)/Waterfall!$B$18))</f>
        <v>1</v>
      </c>
      <c r="O17" s="57" t="n">
        <f aca="false">MAX(0,MIN(1,(($B17*Assumptions!$B$6/1000000)*(O$5-O$4)-Assumptions!$B$21*Assumptions!$B$22*MAX(0,$B17*Assumptions!$B$6/1000000*O$5-Assumptions!$B$7)+Assumptions!$B$14-Waterfall!$C$17)/Waterfall!$B$18))</f>
        <v>1</v>
      </c>
      <c r="P17" s="57" t="n">
        <f aca="false">MAX(0,MIN(1,(($B17*Assumptions!$B$6/1000000)*(P$5-P$4)-Assumptions!$B$21*Assumptions!$B$22*MAX(0,$B17*Assumptions!$B$6/1000000*P$5-Assumptions!$B$7)+Assumptions!$B$14-Waterfall!$C$17)/Waterfall!$B$18))</f>
        <v>1</v>
      </c>
      <c r="Q17" s="57" t="n">
        <f aca="false">MAX(0,MIN(1,(($B17*Assumptions!$B$6/1000000)*(Q$5-Q$4)-Assumptions!$B$21*Assumptions!$B$22*MAX(0,$B17*Assumptions!$B$6/1000000*Q$5-Assumptions!$B$7)+Assumptions!$B$14-Waterfall!$C$17)/Waterfall!$B$18))</f>
        <v>1</v>
      </c>
    </row>
    <row r="18" customFormat="false" ht="15" hidden="false" customHeight="true" outlineLevel="0" collapsed="false">
      <c r="B18" s="39" t="n">
        <f aca="false">BTC_Sensitivity!B17</f>
        <v>80000</v>
      </c>
      <c r="C18" s="57" t="n">
        <f aca="false">MAX(0,MIN(1,(($B18*Assumptions!$B$6/1000000)*(C$5-C$4)-Assumptions!$B$21*Assumptions!$B$22*MAX(0,$B18*Assumptions!$B$6/1000000*C$5-Assumptions!$B$7)+Assumptions!$B$14-Waterfall!$C$17)/Waterfall!$B$18))</f>
        <v>1</v>
      </c>
      <c r="D18" s="57" t="n">
        <f aca="false">MAX(0,MIN(1,(($B18*Assumptions!$B$6/1000000)*(D$5-D$4)-Assumptions!$B$21*Assumptions!$B$22*MAX(0,$B18*Assumptions!$B$6/1000000*D$5-Assumptions!$B$7)+Assumptions!$B$14-Waterfall!$C$17)/Waterfall!$B$18))</f>
        <v>1</v>
      </c>
      <c r="E18" s="57" t="n">
        <f aca="false">MAX(0,MIN(1,(($B18*Assumptions!$B$6/1000000)*(E$5-E$4)-Assumptions!$B$21*Assumptions!$B$22*MAX(0,$B18*Assumptions!$B$6/1000000*E$5-Assumptions!$B$7)+Assumptions!$B$14-Waterfall!$C$17)/Waterfall!$B$18))</f>
        <v>1</v>
      </c>
      <c r="F18" s="57" t="n">
        <f aca="false">MAX(0,MIN(1,(($B18*Assumptions!$B$6/1000000)*(F$5-F$4)-Assumptions!$B$21*Assumptions!$B$22*MAX(0,$B18*Assumptions!$B$6/1000000*F$5-Assumptions!$B$7)+Assumptions!$B$14-Waterfall!$C$17)/Waterfall!$B$18))</f>
        <v>1</v>
      </c>
      <c r="G18" s="57" t="n">
        <f aca="false">MAX(0,MIN(1,(($B18*Assumptions!$B$6/1000000)*(G$5-G$4)-Assumptions!$B$21*Assumptions!$B$22*MAX(0,$B18*Assumptions!$B$6/1000000*G$5-Assumptions!$B$7)+Assumptions!$B$14-Waterfall!$C$17)/Waterfall!$B$18))</f>
        <v>1</v>
      </c>
      <c r="H18" s="57" t="n">
        <f aca="false">MAX(0,MIN(1,(($B18*Assumptions!$B$6/1000000)*(H$5-H$4)-Assumptions!$B$21*Assumptions!$B$22*MAX(0,$B18*Assumptions!$B$6/1000000*H$5-Assumptions!$B$7)+Assumptions!$B$14-Waterfall!$C$17)/Waterfall!$B$18))</f>
        <v>1</v>
      </c>
      <c r="I18" s="57" t="n">
        <f aca="false">MAX(0,MIN(1,(($B18*Assumptions!$B$6/1000000)*(I$5-I$4)-Assumptions!$B$21*Assumptions!$B$22*MAX(0,$B18*Assumptions!$B$6/1000000*I$5-Assumptions!$B$7)+Assumptions!$B$14-Waterfall!$C$17)/Waterfall!$B$18))</f>
        <v>1</v>
      </c>
      <c r="J18" s="57" t="n">
        <f aca="false">MAX(0,MIN(1,(($B18*Assumptions!$B$6/1000000)*(J$5-J$4)-Assumptions!$B$21*Assumptions!$B$22*MAX(0,$B18*Assumptions!$B$6/1000000*J$5-Assumptions!$B$7)+Assumptions!$B$14-Waterfall!$C$17)/Waterfall!$B$18))</f>
        <v>1</v>
      </c>
      <c r="K18" s="57" t="n">
        <f aca="false">MAX(0,MIN(1,(($B18*Assumptions!$B$6/1000000)*(K$5-K$4)-Assumptions!$B$21*Assumptions!$B$22*MAX(0,$B18*Assumptions!$B$6/1000000*K$5-Assumptions!$B$7)+Assumptions!$B$14-Waterfall!$C$17)/Waterfall!$B$18))</f>
        <v>1</v>
      </c>
      <c r="L18" s="57" t="n">
        <f aca="false">MAX(0,MIN(1,(($B18*Assumptions!$B$6/1000000)*(L$5-L$4)-Assumptions!$B$21*Assumptions!$B$22*MAX(0,$B18*Assumptions!$B$6/1000000*L$5-Assumptions!$B$7)+Assumptions!$B$14-Waterfall!$C$17)/Waterfall!$B$18))</f>
        <v>1</v>
      </c>
      <c r="M18" s="57" t="n">
        <f aca="false">MAX(0,MIN(1,(($B18*Assumptions!$B$6/1000000)*(M$5-M$4)-Assumptions!$B$21*Assumptions!$B$22*MAX(0,$B18*Assumptions!$B$6/1000000*M$5-Assumptions!$B$7)+Assumptions!$B$14-Waterfall!$C$17)/Waterfall!$B$18))</f>
        <v>1</v>
      </c>
      <c r="N18" s="57" t="n">
        <f aca="false">MAX(0,MIN(1,(($B18*Assumptions!$B$6/1000000)*(N$5-N$4)-Assumptions!$B$21*Assumptions!$B$22*MAX(0,$B18*Assumptions!$B$6/1000000*N$5-Assumptions!$B$7)+Assumptions!$B$14-Waterfall!$C$17)/Waterfall!$B$18))</f>
        <v>1</v>
      </c>
      <c r="O18" s="57" t="n">
        <f aca="false">MAX(0,MIN(1,(($B18*Assumptions!$B$6/1000000)*(O$5-O$4)-Assumptions!$B$21*Assumptions!$B$22*MAX(0,$B18*Assumptions!$B$6/1000000*O$5-Assumptions!$B$7)+Assumptions!$B$14-Waterfall!$C$17)/Waterfall!$B$18))</f>
        <v>1</v>
      </c>
      <c r="P18" s="57" t="n">
        <f aca="false">MAX(0,MIN(1,(($B18*Assumptions!$B$6/1000000)*(P$5-P$4)-Assumptions!$B$21*Assumptions!$B$22*MAX(0,$B18*Assumptions!$B$6/1000000*P$5-Assumptions!$B$7)+Assumptions!$B$14-Waterfall!$C$17)/Waterfall!$B$18))</f>
        <v>1</v>
      </c>
      <c r="Q18" s="57" t="n">
        <f aca="false">MAX(0,MIN(1,(($B18*Assumptions!$B$6/1000000)*(Q$5-Q$4)-Assumptions!$B$21*Assumptions!$B$22*MAX(0,$B18*Assumptions!$B$6/1000000*Q$5-Assumptions!$B$7)+Assumptions!$B$14-Waterfall!$C$17)/Waterfall!$B$18))</f>
        <v>1</v>
      </c>
    </row>
    <row r="19" customFormat="false" ht="15" hidden="false" customHeight="true" outlineLevel="0" collapsed="false">
      <c r="B19" s="39" t="n">
        <f aca="false">BTC_Sensitivity!B18</f>
        <v>90000</v>
      </c>
      <c r="C19" s="57" t="n">
        <f aca="false">MAX(0,MIN(1,(($B19*Assumptions!$B$6/1000000)*(C$5-C$4)-Assumptions!$B$21*Assumptions!$B$22*MAX(0,$B19*Assumptions!$B$6/1000000*C$5-Assumptions!$B$7)+Assumptions!$B$14-Waterfall!$C$17)/Waterfall!$B$18))</f>
        <v>1</v>
      </c>
      <c r="D19" s="57" t="n">
        <f aca="false">MAX(0,MIN(1,(($B19*Assumptions!$B$6/1000000)*(D$5-D$4)-Assumptions!$B$21*Assumptions!$B$22*MAX(0,$B19*Assumptions!$B$6/1000000*D$5-Assumptions!$B$7)+Assumptions!$B$14-Waterfall!$C$17)/Waterfall!$B$18))</f>
        <v>1</v>
      </c>
      <c r="E19" s="57" t="n">
        <f aca="false">MAX(0,MIN(1,(($B19*Assumptions!$B$6/1000000)*(E$5-E$4)-Assumptions!$B$21*Assumptions!$B$22*MAX(0,$B19*Assumptions!$B$6/1000000*E$5-Assumptions!$B$7)+Assumptions!$B$14-Waterfall!$C$17)/Waterfall!$B$18))</f>
        <v>1</v>
      </c>
      <c r="F19" s="57" t="n">
        <f aca="false">MAX(0,MIN(1,(($B19*Assumptions!$B$6/1000000)*(F$5-F$4)-Assumptions!$B$21*Assumptions!$B$22*MAX(0,$B19*Assumptions!$B$6/1000000*F$5-Assumptions!$B$7)+Assumptions!$B$14-Waterfall!$C$17)/Waterfall!$B$18))</f>
        <v>1</v>
      </c>
      <c r="G19" s="57" t="n">
        <f aca="false">MAX(0,MIN(1,(($B19*Assumptions!$B$6/1000000)*(G$5-G$4)-Assumptions!$B$21*Assumptions!$B$22*MAX(0,$B19*Assumptions!$B$6/1000000*G$5-Assumptions!$B$7)+Assumptions!$B$14-Waterfall!$C$17)/Waterfall!$B$18))</f>
        <v>1</v>
      </c>
      <c r="H19" s="57" t="n">
        <f aca="false">MAX(0,MIN(1,(($B19*Assumptions!$B$6/1000000)*(H$5-H$4)-Assumptions!$B$21*Assumptions!$B$22*MAX(0,$B19*Assumptions!$B$6/1000000*H$5-Assumptions!$B$7)+Assumptions!$B$14-Waterfall!$C$17)/Waterfall!$B$18))</f>
        <v>1</v>
      </c>
      <c r="I19" s="57" t="n">
        <f aca="false">MAX(0,MIN(1,(($B19*Assumptions!$B$6/1000000)*(I$5-I$4)-Assumptions!$B$21*Assumptions!$B$22*MAX(0,$B19*Assumptions!$B$6/1000000*I$5-Assumptions!$B$7)+Assumptions!$B$14-Waterfall!$C$17)/Waterfall!$B$18))</f>
        <v>1</v>
      </c>
      <c r="J19" s="57" t="n">
        <f aca="false">MAX(0,MIN(1,(($B19*Assumptions!$B$6/1000000)*(J$5-J$4)-Assumptions!$B$21*Assumptions!$B$22*MAX(0,$B19*Assumptions!$B$6/1000000*J$5-Assumptions!$B$7)+Assumptions!$B$14-Waterfall!$C$17)/Waterfall!$B$18))</f>
        <v>1</v>
      </c>
      <c r="K19" s="57" t="n">
        <f aca="false">MAX(0,MIN(1,(($B19*Assumptions!$B$6/1000000)*(K$5-K$4)-Assumptions!$B$21*Assumptions!$B$22*MAX(0,$B19*Assumptions!$B$6/1000000*K$5-Assumptions!$B$7)+Assumptions!$B$14-Waterfall!$C$17)/Waterfall!$B$18))</f>
        <v>1</v>
      </c>
      <c r="L19" s="57" t="n">
        <f aca="false">MAX(0,MIN(1,(($B19*Assumptions!$B$6/1000000)*(L$5-L$4)-Assumptions!$B$21*Assumptions!$B$22*MAX(0,$B19*Assumptions!$B$6/1000000*L$5-Assumptions!$B$7)+Assumptions!$B$14-Waterfall!$C$17)/Waterfall!$B$18))</f>
        <v>1</v>
      </c>
      <c r="M19" s="57" t="n">
        <f aca="false">MAX(0,MIN(1,(($B19*Assumptions!$B$6/1000000)*(M$5-M$4)-Assumptions!$B$21*Assumptions!$B$22*MAX(0,$B19*Assumptions!$B$6/1000000*M$5-Assumptions!$B$7)+Assumptions!$B$14-Waterfall!$C$17)/Waterfall!$B$18))</f>
        <v>1</v>
      </c>
      <c r="N19" s="57" t="n">
        <f aca="false">MAX(0,MIN(1,(($B19*Assumptions!$B$6/1000000)*(N$5-N$4)-Assumptions!$B$21*Assumptions!$B$22*MAX(0,$B19*Assumptions!$B$6/1000000*N$5-Assumptions!$B$7)+Assumptions!$B$14-Waterfall!$C$17)/Waterfall!$B$18))</f>
        <v>1</v>
      </c>
      <c r="O19" s="57" t="n">
        <f aca="false">MAX(0,MIN(1,(($B19*Assumptions!$B$6/1000000)*(O$5-O$4)-Assumptions!$B$21*Assumptions!$B$22*MAX(0,$B19*Assumptions!$B$6/1000000*O$5-Assumptions!$B$7)+Assumptions!$B$14-Waterfall!$C$17)/Waterfall!$B$18))</f>
        <v>1</v>
      </c>
      <c r="P19" s="57" t="n">
        <f aca="false">MAX(0,MIN(1,(($B19*Assumptions!$B$6/1000000)*(P$5-P$4)-Assumptions!$B$21*Assumptions!$B$22*MAX(0,$B19*Assumptions!$B$6/1000000*P$5-Assumptions!$B$7)+Assumptions!$B$14-Waterfall!$C$17)/Waterfall!$B$18))</f>
        <v>1</v>
      </c>
      <c r="Q19" s="57" t="n">
        <f aca="false">MAX(0,MIN(1,(($B19*Assumptions!$B$6/1000000)*(Q$5-Q$4)-Assumptions!$B$21*Assumptions!$B$22*MAX(0,$B19*Assumptions!$B$6/1000000*Q$5-Assumptions!$B$7)+Assumptions!$B$14-Waterfall!$C$17)/Waterfall!$B$18))</f>
        <v>1</v>
      </c>
    </row>
    <row r="20" customFormat="false" ht="15" hidden="false" customHeight="true" outlineLevel="0" collapsed="false">
      <c r="B20" s="39" t="n">
        <f aca="false">BTC_Sensitivity!B19</f>
        <v>100000</v>
      </c>
      <c r="C20" s="57" t="n">
        <f aca="false">MAX(0,MIN(1,(($B20*Assumptions!$B$6/1000000)*(C$5-C$4)-Assumptions!$B$21*Assumptions!$B$22*MAX(0,$B20*Assumptions!$B$6/1000000*C$5-Assumptions!$B$7)+Assumptions!$B$14-Waterfall!$C$17)/Waterfall!$B$18))</f>
        <v>1</v>
      </c>
      <c r="D20" s="57" t="n">
        <f aca="false">MAX(0,MIN(1,(($B20*Assumptions!$B$6/1000000)*(D$5-D$4)-Assumptions!$B$21*Assumptions!$B$22*MAX(0,$B20*Assumptions!$B$6/1000000*D$5-Assumptions!$B$7)+Assumptions!$B$14-Waterfall!$C$17)/Waterfall!$B$18))</f>
        <v>1</v>
      </c>
      <c r="E20" s="57" t="n">
        <f aca="false">MAX(0,MIN(1,(($B20*Assumptions!$B$6/1000000)*(E$5-E$4)-Assumptions!$B$21*Assumptions!$B$22*MAX(0,$B20*Assumptions!$B$6/1000000*E$5-Assumptions!$B$7)+Assumptions!$B$14-Waterfall!$C$17)/Waterfall!$B$18))</f>
        <v>1</v>
      </c>
      <c r="F20" s="57" t="n">
        <f aca="false">MAX(0,MIN(1,(($B20*Assumptions!$B$6/1000000)*(F$5-F$4)-Assumptions!$B$21*Assumptions!$B$22*MAX(0,$B20*Assumptions!$B$6/1000000*F$5-Assumptions!$B$7)+Assumptions!$B$14-Waterfall!$C$17)/Waterfall!$B$18))</f>
        <v>1</v>
      </c>
      <c r="G20" s="57" t="n">
        <f aca="false">MAX(0,MIN(1,(($B20*Assumptions!$B$6/1000000)*(G$5-G$4)-Assumptions!$B$21*Assumptions!$B$22*MAX(0,$B20*Assumptions!$B$6/1000000*G$5-Assumptions!$B$7)+Assumptions!$B$14-Waterfall!$C$17)/Waterfall!$B$18))</f>
        <v>1</v>
      </c>
      <c r="H20" s="57" t="n">
        <f aca="false">MAX(0,MIN(1,(($B20*Assumptions!$B$6/1000000)*(H$5-H$4)-Assumptions!$B$21*Assumptions!$B$22*MAX(0,$B20*Assumptions!$B$6/1000000*H$5-Assumptions!$B$7)+Assumptions!$B$14-Waterfall!$C$17)/Waterfall!$B$18))</f>
        <v>1</v>
      </c>
      <c r="I20" s="57" t="n">
        <f aca="false">MAX(0,MIN(1,(($B20*Assumptions!$B$6/1000000)*(I$5-I$4)-Assumptions!$B$21*Assumptions!$B$22*MAX(0,$B20*Assumptions!$B$6/1000000*I$5-Assumptions!$B$7)+Assumptions!$B$14-Waterfall!$C$17)/Waterfall!$B$18))</f>
        <v>1</v>
      </c>
      <c r="J20" s="57" t="n">
        <f aca="false">MAX(0,MIN(1,(($B20*Assumptions!$B$6/1000000)*(J$5-J$4)-Assumptions!$B$21*Assumptions!$B$22*MAX(0,$B20*Assumptions!$B$6/1000000*J$5-Assumptions!$B$7)+Assumptions!$B$14-Waterfall!$C$17)/Waterfall!$B$18))</f>
        <v>1</v>
      </c>
      <c r="K20" s="57" t="n">
        <f aca="false">MAX(0,MIN(1,(($B20*Assumptions!$B$6/1000000)*(K$5-K$4)-Assumptions!$B$21*Assumptions!$B$22*MAX(0,$B20*Assumptions!$B$6/1000000*K$5-Assumptions!$B$7)+Assumptions!$B$14-Waterfall!$C$17)/Waterfall!$B$18))</f>
        <v>1</v>
      </c>
      <c r="L20" s="57" t="n">
        <f aca="false">MAX(0,MIN(1,(($B20*Assumptions!$B$6/1000000)*(L$5-L$4)-Assumptions!$B$21*Assumptions!$B$22*MAX(0,$B20*Assumptions!$B$6/1000000*L$5-Assumptions!$B$7)+Assumptions!$B$14-Waterfall!$C$17)/Waterfall!$B$18))</f>
        <v>1</v>
      </c>
      <c r="M20" s="57" t="n">
        <f aca="false">MAX(0,MIN(1,(($B20*Assumptions!$B$6/1000000)*(M$5-M$4)-Assumptions!$B$21*Assumptions!$B$22*MAX(0,$B20*Assumptions!$B$6/1000000*M$5-Assumptions!$B$7)+Assumptions!$B$14-Waterfall!$C$17)/Waterfall!$B$18))</f>
        <v>1</v>
      </c>
      <c r="N20" s="57" t="n">
        <f aca="false">MAX(0,MIN(1,(($B20*Assumptions!$B$6/1000000)*(N$5-N$4)-Assumptions!$B$21*Assumptions!$B$22*MAX(0,$B20*Assumptions!$B$6/1000000*N$5-Assumptions!$B$7)+Assumptions!$B$14-Waterfall!$C$17)/Waterfall!$B$18))</f>
        <v>1</v>
      </c>
      <c r="O20" s="57" t="n">
        <f aca="false">MAX(0,MIN(1,(($B20*Assumptions!$B$6/1000000)*(O$5-O$4)-Assumptions!$B$21*Assumptions!$B$22*MAX(0,$B20*Assumptions!$B$6/1000000*O$5-Assumptions!$B$7)+Assumptions!$B$14-Waterfall!$C$17)/Waterfall!$B$18))</f>
        <v>1</v>
      </c>
      <c r="P20" s="57" t="n">
        <f aca="false">MAX(0,MIN(1,(($B20*Assumptions!$B$6/1000000)*(P$5-P$4)-Assumptions!$B$21*Assumptions!$B$22*MAX(0,$B20*Assumptions!$B$6/1000000*P$5-Assumptions!$B$7)+Assumptions!$B$14-Waterfall!$C$17)/Waterfall!$B$18))</f>
        <v>1</v>
      </c>
      <c r="Q20" s="57" t="n">
        <f aca="false">MAX(0,MIN(1,(($B20*Assumptions!$B$6/1000000)*(Q$5-Q$4)-Assumptions!$B$21*Assumptions!$B$22*MAX(0,$B20*Assumptions!$B$6/1000000*Q$5-Assumptions!$B$7)+Assumptions!$B$14-Waterfall!$C$17)/Waterfall!$B$18))</f>
        <v>1</v>
      </c>
    </row>
    <row r="21" customFormat="false" ht="15" hidden="false" customHeight="true" outlineLevel="0" collapsed="false">
      <c r="B21" s="39" t="n">
        <f aca="false">BTC_Sensitivity!B20</f>
        <v>125000</v>
      </c>
      <c r="C21" s="57" t="n">
        <f aca="false">MAX(0,MIN(1,(($B21*Assumptions!$B$6/1000000)*(C$5-C$4)-Assumptions!$B$21*Assumptions!$B$22*MAX(0,$B21*Assumptions!$B$6/1000000*C$5-Assumptions!$B$7)+Assumptions!$B$14-Waterfall!$C$17)/Waterfall!$B$18))</f>
        <v>1</v>
      </c>
      <c r="D21" s="57" t="n">
        <f aca="false">MAX(0,MIN(1,(($B21*Assumptions!$B$6/1000000)*(D$5-D$4)-Assumptions!$B$21*Assumptions!$B$22*MAX(0,$B21*Assumptions!$B$6/1000000*D$5-Assumptions!$B$7)+Assumptions!$B$14-Waterfall!$C$17)/Waterfall!$B$18))</f>
        <v>1</v>
      </c>
      <c r="E21" s="57" t="n">
        <f aca="false">MAX(0,MIN(1,(($B21*Assumptions!$B$6/1000000)*(E$5-E$4)-Assumptions!$B$21*Assumptions!$B$22*MAX(0,$B21*Assumptions!$B$6/1000000*E$5-Assumptions!$B$7)+Assumptions!$B$14-Waterfall!$C$17)/Waterfall!$B$18))</f>
        <v>1</v>
      </c>
      <c r="F21" s="57" t="n">
        <f aca="false">MAX(0,MIN(1,(($B21*Assumptions!$B$6/1000000)*(F$5-F$4)-Assumptions!$B$21*Assumptions!$B$22*MAX(0,$B21*Assumptions!$B$6/1000000*F$5-Assumptions!$B$7)+Assumptions!$B$14-Waterfall!$C$17)/Waterfall!$B$18))</f>
        <v>1</v>
      </c>
      <c r="G21" s="57" t="n">
        <f aca="false">MAX(0,MIN(1,(($B21*Assumptions!$B$6/1000000)*(G$5-G$4)-Assumptions!$B$21*Assumptions!$B$22*MAX(0,$B21*Assumptions!$B$6/1000000*G$5-Assumptions!$B$7)+Assumptions!$B$14-Waterfall!$C$17)/Waterfall!$B$18))</f>
        <v>1</v>
      </c>
      <c r="H21" s="57" t="n">
        <f aca="false">MAX(0,MIN(1,(($B21*Assumptions!$B$6/1000000)*(H$5-H$4)-Assumptions!$B$21*Assumptions!$B$22*MAX(0,$B21*Assumptions!$B$6/1000000*H$5-Assumptions!$B$7)+Assumptions!$B$14-Waterfall!$C$17)/Waterfall!$B$18))</f>
        <v>1</v>
      </c>
      <c r="I21" s="57" t="n">
        <f aca="false">MAX(0,MIN(1,(($B21*Assumptions!$B$6/1000000)*(I$5-I$4)-Assumptions!$B$21*Assumptions!$B$22*MAX(0,$B21*Assumptions!$B$6/1000000*I$5-Assumptions!$B$7)+Assumptions!$B$14-Waterfall!$C$17)/Waterfall!$B$18))</f>
        <v>1</v>
      </c>
      <c r="J21" s="57" t="n">
        <f aca="false">MAX(0,MIN(1,(($B21*Assumptions!$B$6/1000000)*(J$5-J$4)-Assumptions!$B$21*Assumptions!$B$22*MAX(0,$B21*Assumptions!$B$6/1000000*J$5-Assumptions!$B$7)+Assumptions!$B$14-Waterfall!$C$17)/Waterfall!$B$18))</f>
        <v>1</v>
      </c>
      <c r="K21" s="57" t="n">
        <f aca="false">MAX(0,MIN(1,(($B21*Assumptions!$B$6/1000000)*(K$5-K$4)-Assumptions!$B$21*Assumptions!$B$22*MAX(0,$B21*Assumptions!$B$6/1000000*K$5-Assumptions!$B$7)+Assumptions!$B$14-Waterfall!$C$17)/Waterfall!$B$18))</f>
        <v>1</v>
      </c>
      <c r="L21" s="57" t="n">
        <f aca="false">MAX(0,MIN(1,(($B21*Assumptions!$B$6/1000000)*(L$5-L$4)-Assumptions!$B$21*Assumptions!$B$22*MAX(0,$B21*Assumptions!$B$6/1000000*L$5-Assumptions!$B$7)+Assumptions!$B$14-Waterfall!$C$17)/Waterfall!$B$18))</f>
        <v>1</v>
      </c>
      <c r="M21" s="57" t="n">
        <f aca="false">MAX(0,MIN(1,(($B21*Assumptions!$B$6/1000000)*(M$5-M$4)-Assumptions!$B$21*Assumptions!$B$22*MAX(0,$B21*Assumptions!$B$6/1000000*M$5-Assumptions!$B$7)+Assumptions!$B$14-Waterfall!$C$17)/Waterfall!$B$18))</f>
        <v>1</v>
      </c>
      <c r="N21" s="57" t="n">
        <f aca="false">MAX(0,MIN(1,(($B21*Assumptions!$B$6/1000000)*(N$5-N$4)-Assumptions!$B$21*Assumptions!$B$22*MAX(0,$B21*Assumptions!$B$6/1000000*N$5-Assumptions!$B$7)+Assumptions!$B$14-Waterfall!$C$17)/Waterfall!$B$18))</f>
        <v>1</v>
      </c>
      <c r="O21" s="57" t="n">
        <f aca="false">MAX(0,MIN(1,(($B21*Assumptions!$B$6/1000000)*(O$5-O$4)-Assumptions!$B$21*Assumptions!$B$22*MAX(0,$B21*Assumptions!$B$6/1000000*O$5-Assumptions!$B$7)+Assumptions!$B$14-Waterfall!$C$17)/Waterfall!$B$18))</f>
        <v>1</v>
      </c>
      <c r="P21" s="57" t="n">
        <f aca="false">MAX(0,MIN(1,(($B21*Assumptions!$B$6/1000000)*(P$5-P$4)-Assumptions!$B$21*Assumptions!$B$22*MAX(0,$B21*Assumptions!$B$6/1000000*P$5-Assumptions!$B$7)+Assumptions!$B$14-Waterfall!$C$17)/Waterfall!$B$18))</f>
        <v>1</v>
      </c>
      <c r="Q21" s="57" t="n">
        <f aca="false">MAX(0,MIN(1,(($B21*Assumptions!$B$6/1000000)*(Q$5-Q$4)-Assumptions!$B$21*Assumptions!$B$22*MAX(0,$B21*Assumptions!$B$6/1000000*Q$5-Assumptions!$B$7)+Assumptions!$B$14-Waterfall!$C$17)/Waterfall!$B$18))</f>
        <v>1</v>
      </c>
    </row>
    <row r="22" customFormat="false" ht="15" hidden="false" customHeight="true" outlineLevel="0" collapsed="false">
      <c r="B22" s="39" t="n">
        <f aca="false">BTC_Sensitivity!B21</f>
        <v>150000</v>
      </c>
      <c r="C22" s="57" t="n">
        <f aca="false">MAX(0,MIN(1,(($B22*Assumptions!$B$6/1000000)*(C$5-C$4)-Assumptions!$B$21*Assumptions!$B$22*MAX(0,$B22*Assumptions!$B$6/1000000*C$5-Assumptions!$B$7)+Assumptions!$B$14-Waterfall!$C$17)/Waterfall!$B$18))</f>
        <v>1</v>
      </c>
      <c r="D22" s="57" t="n">
        <f aca="false">MAX(0,MIN(1,(($B22*Assumptions!$B$6/1000000)*(D$5-D$4)-Assumptions!$B$21*Assumptions!$B$22*MAX(0,$B22*Assumptions!$B$6/1000000*D$5-Assumptions!$B$7)+Assumptions!$B$14-Waterfall!$C$17)/Waterfall!$B$18))</f>
        <v>1</v>
      </c>
      <c r="E22" s="57" t="n">
        <f aca="false">MAX(0,MIN(1,(($B22*Assumptions!$B$6/1000000)*(E$5-E$4)-Assumptions!$B$21*Assumptions!$B$22*MAX(0,$B22*Assumptions!$B$6/1000000*E$5-Assumptions!$B$7)+Assumptions!$B$14-Waterfall!$C$17)/Waterfall!$B$18))</f>
        <v>1</v>
      </c>
      <c r="F22" s="57" t="n">
        <f aca="false">MAX(0,MIN(1,(($B22*Assumptions!$B$6/1000000)*(F$5-F$4)-Assumptions!$B$21*Assumptions!$B$22*MAX(0,$B22*Assumptions!$B$6/1000000*F$5-Assumptions!$B$7)+Assumptions!$B$14-Waterfall!$C$17)/Waterfall!$B$18))</f>
        <v>1</v>
      </c>
      <c r="G22" s="57" t="n">
        <f aca="false">MAX(0,MIN(1,(($B22*Assumptions!$B$6/1000000)*(G$5-G$4)-Assumptions!$B$21*Assumptions!$B$22*MAX(0,$B22*Assumptions!$B$6/1000000*G$5-Assumptions!$B$7)+Assumptions!$B$14-Waterfall!$C$17)/Waterfall!$B$18))</f>
        <v>1</v>
      </c>
      <c r="H22" s="57" t="n">
        <f aca="false">MAX(0,MIN(1,(($B22*Assumptions!$B$6/1000000)*(H$5-H$4)-Assumptions!$B$21*Assumptions!$B$22*MAX(0,$B22*Assumptions!$B$6/1000000*H$5-Assumptions!$B$7)+Assumptions!$B$14-Waterfall!$C$17)/Waterfall!$B$18))</f>
        <v>1</v>
      </c>
      <c r="I22" s="57" t="n">
        <f aca="false">MAX(0,MIN(1,(($B22*Assumptions!$B$6/1000000)*(I$5-I$4)-Assumptions!$B$21*Assumptions!$B$22*MAX(0,$B22*Assumptions!$B$6/1000000*I$5-Assumptions!$B$7)+Assumptions!$B$14-Waterfall!$C$17)/Waterfall!$B$18))</f>
        <v>1</v>
      </c>
      <c r="J22" s="57" t="n">
        <f aca="false">MAX(0,MIN(1,(($B22*Assumptions!$B$6/1000000)*(J$5-J$4)-Assumptions!$B$21*Assumptions!$B$22*MAX(0,$B22*Assumptions!$B$6/1000000*J$5-Assumptions!$B$7)+Assumptions!$B$14-Waterfall!$C$17)/Waterfall!$B$18))</f>
        <v>1</v>
      </c>
      <c r="K22" s="57" t="n">
        <f aca="false">MAX(0,MIN(1,(($B22*Assumptions!$B$6/1000000)*(K$5-K$4)-Assumptions!$B$21*Assumptions!$B$22*MAX(0,$B22*Assumptions!$B$6/1000000*K$5-Assumptions!$B$7)+Assumptions!$B$14-Waterfall!$C$17)/Waterfall!$B$18))</f>
        <v>1</v>
      </c>
      <c r="L22" s="57" t="n">
        <f aca="false">MAX(0,MIN(1,(($B22*Assumptions!$B$6/1000000)*(L$5-L$4)-Assumptions!$B$21*Assumptions!$B$22*MAX(0,$B22*Assumptions!$B$6/1000000*L$5-Assumptions!$B$7)+Assumptions!$B$14-Waterfall!$C$17)/Waterfall!$B$18))</f>
        <v>1</v>
      </c>
      <c r="M22" s="57" t="n">
        <f aca="false">MAX(0,MIN(1,(($B22*Assumptions!$B$6/1000000)*(M$5-M$4)-Assumptions!$B$21*Assumptions!$B$22*MAX(0,$B22*Assumptions!$B$6/1000000*M$5-Assumptions!$B$7)+Assumptions!$B$14-Waterfall!$C$17)/Waterfall!$B$18))</f>
        <v>1</v>
      </c>
      <c r="N22" s="57" t="n">
        <f aca="false">MAX(0,MIN(1,(($B22*Assumptions!$B$6/1000000)*(N$5-N$4)-Assumptions!$B$21*Assumptions!$B$22*MAX(0,$B22*Assumptions!$B$6/1000000*N$5-Assumptions!$B$7)+Assumptions!$B$14-Waterfall!$C$17)/Waterfall!$B$18))</f>
        <v>1</v>
      </c>
      <c r="O22" s="57" t="n">
        <f aca="false">MAX(0,MIN(1,(($B22*Assumptions!$B$6/1000000)*(O$5-O$4)-Assumptions!$B$21*Assumptions!$B$22*MAX(0,$B22*Assumptions!$B$6/1000000*O$5-Assumptions!$B$7)+Assumptions!$B$14-Waterfall!$C$17)/Waterfall!$B$18))</f>
        <v>1</v>
      </c>
      <c r="P22" s="57" t="n">
        <f aca="false">MAX(0,MIN(1,(($B22*Assumptions!$B$6/1000000)*(P$5-P$4)-Assumptions!$B$21*Assumptions!$B$22*MAX(0,$B22*Assumptions!$B$6/1000000*P$5-Assumptions!$B$7)+Assumptions!$B$14-Waterfall!$C$17)/Waterfall!$B$18))</f>
        <v>1</v>
      </c>
      <c r="Q22" s="57" t="n">
        <f aca="false">MAX(0,MIN(1,(($B22*Assumptions!$B$6/1000000)*(Q$5-Q$4)-Assumptions!$B$21*Assumptions!$B$22*MAX(0,$B22*Assumptions!$B$6/1000000*Q$5-Assumptions!$B$7)+Assumptions!$B$14-Waterfall!$C$17)/Waterfall!$B$18))</f>
        <v>1</v>
      </c>
    </row>
    <row r="23" customFormat="false" ht="15" hidden="false" customHeight="true" outlineLevel="0" collapsed="false">
      <c r="B23" s="39" t="n">
        <f aca="false">BTC_Sensitivity!B22</f>
        <v>200000</v>
      </c>
      <c r="C23" s="57" t="n">
        <f aca="false">MAX(0,MIN(1,(($B23*Assumptions!$B$6/1000000)*(C$5-C$4)-Assumptions!$B$21*Assumptions!$B$22*MAX(0,$B23*Assumptions!$B$6/1000000*C$5-Assumptions!$B$7)+Assumptions!$B$14-Waterfall!$C$17)/Waterfall!$B$18))</f>
        <v>1</v>
      </c>
      <c r="D23" s="57" t="n">
        <f aca="false">MAX(0,MIN(1,(($B23*Assumptions!$B$6/1000000)*(D$5-D$4)-Assumptions!$B$21*Assumptions!$B$22*MAX(0,$B23*Assumptions!$B$6/1000000*D$5-Assumptions!$B$7)+Assumptions!$B$14-Waterfall!$C$17)/Waterfall!$B$18))</f>
        <v>1</v>
      </c>
      <c r="E23" s="57" t="n">
        <f aca="false">MAX(0,MIN(1,(($B23*Assumptions!$B$6/1000000)*(E$5-E$4)-Assumptions!$B$21*Assumptions!$B$22*MAX(0,$B23*Assumptions!$B$6/1000000*E$5-Assumptions!$B$7)+Assumptions!$B$14-Waterfall!$C$17)/Waterfall!$B$18))</f>
        <v>1</v>
      </c>
      <c r="F23" s="57" t="n">
        <f aca="false">MAX(0,MIN(1,(($B23*Assumptions!$B$6/1000000)*(F$5-F$4)-Assumptions!$B$21*Assumptions!$B$22*MAX(0,$B23*Assumptions!$B$6/1000000*F$5-Assumptions!$B$7)+Assumptions!$B$14-Waterfall!$C$17)/Waterfall!$B$18))</f>
        <v>1</v>
      </c>
      <c r="G23" s="57" t="n">
        <f aca="false">MAX(0,MIN(1,(($B23*Assumptions!$B$6/1000000)*(G$5-G$4)-Assumptions!$B$21*Assumptions!$B$22*MAX(0,$B23*Assumptions!$B$6/1000000*G$5-Assumptions!$B$7)+Assumptions!$B$14-Waterfall!$C$17)/Waterfall!$B$18))</f>
        <v>1</v>
      </c>
      <c r="H23" s="57" t="n">
        <f aca="false">MAX(0,MIN(1,(($B23*Assumptions!$B$6/1000000)*(H$5-H$4)-Assumptions!$B$21*Assumptions!$B$22*MAX(0,$B23*Assumptions!$B$6/1000000*H$5-Assumptions!$B$7)+Assumptions!$B$14-Waterfall!$C$17)/Waterfall!$B$18))</f>
        <v>1</v>
      </c>
      <c r="I23" s="57" t="n">
        <f aca="false">MAX(0,MIN(1,(($B23*Assumptions!$B$6/1000000)*(I$5-I$4)-Assumptions!$B$21*Assumptions!$B$22*MAX(0,$B23*Assumptions!$B$6/1000000*I$5-Assumptions!$B$7)+Assumptions!$B$14-Waterfall!$C$17)/Waterfall!$B$18))</f>
        <v>1</v>
      </c>
      <c r="J23" s="57" t="n">
        <f aca="false">MAX(0,MIN(1,(($B23*Assumptions!$B$6/1000000)*(J$5-J$4)-Assumptions!$B$21*Assumptions!$B$22*MAX(0,$B23*Assumptions!$B$6/1000000*J$5-Assumptions!$B$7)+Assumptions!$B$14-Waterfall!$C$17)/Waterfall!$B$18))</f>
        <v>1</v>
      </c>
      <c r="K23" s="57" t="n">
        <f aca="false">MAX(0,MIN(1,(($B23*Assumptions!$B$6/1000000)*(K$5-K$4)-Assumptions!$B$21*Assumptions!$B$22*MAX(0,$B23*Assumptions!$B$6/1000000*K$5-Assumptions!$B$7)+Assumptions!$B$14-Waterfall!$C$17)/Waterfall!$B$18))</f>
        <v>1</v>
      </c>
      <c r="L23" s="57" t="n">
        <f aca="false">MAX(0,MIN(1,(($B23*Assumptions!$B$6/1000000)*(L$5-L$4)-Assumptions!$B$21*Assumptions!$B$22*MAX(0,$B23*Assumptions!$B$6/1000000*L$5-Assumptions!$B$7)+Assumptions!$B$14-Waterfall!$C$17)/Waterfall!$B$18))</f>
        <v>1</v>
      </c>
      <c r="M23" s="57" t="n">
        <f aca="false">MAX(0,MIN(1,(($B23*Assumptions!$B$6/1000000)*(M$5-M$4)-Assumptions!$B$21*Assumptions!$B$22*MAX(0,$B23*Assumptions!$B$6/1000000*M$5-Assumptions!$B$7)+Assumptions!$B$14-Waterfall!$C$17)/Waterfall!$B$18))</f>
        <v>1</v>
      </c>
      <c r="N23" s="57" t="n">
        <f aca="false">MAX(0,MIN(1,(($B23*Assumptions!$B$6/1000000)*(N$5-N$4)-Assumptions!$B$21*Assumptions!$B$22*MAX(0,$B23*Assumptions!$B$6/1000000*N$5-Assumptions!$B$7)+Assumptions!$B$14-Waterfall!$C$17)/Waterfall!$B$18))</f>
        <v>1</v>
      </c>
      <c r="O23" s="57" t="n">
        <f aca="false">MAX(0,MIN(1,(($B23*Assumptions!$B$6/1000000)*(O$5-O$4)-Assumptions!$B$21*Assumptions!$B$22*MAX(0,$B23*Assumptions!$B$6/1000000*O$5-Assumptions!$B$7)+Assumptions!$B$14-Waterfall!$C$17)/Waterfall!$B$18))</f>
        <v>1</v>
      </c>
      <c r="P23" s="57" t="n">
        <f aca="false">MAX(0,MIN(1,(($B23*Assumptions!$B$6/1000000)*(P$5-P$4)-Assumptions!$B$21*Assumptions!$B$22*MAX(0,$B23*Assumptions!$B$6/1000000*P$5-Assumptions!$B$7)+Assumptions!$B$14-Waterfall!$C$17)/Waterfall!$B$18))</f>
        <v>1</v>
      </c>
      <c r="Q23" s="57" t="n">
        <f aca="false">MAX(0,MIN(1,(($B23*Assumptions!$B$6/1000000)*(Q$5-Q$4)-Assumptions!$B$21*Assumptions!$B$22*MAX(0,$B23*Assumptions!$B$6/1000000*Q$5-Assumptions!$B$7)+Assumptions!$B$14-Waterfall!$C$17)/Waterfall!$B$18))</f>
        <v>1</v>
      </c>
    </row>
    <row r="26" customFormat="false" ht="15" hidden="false" customHeight="true" outlineLevel="0" collapsed="false">
      <c r="A26" s="43" t="s">
        <v>332</v>
      </c>
      <c r="C26" s="54" t="s">
        <v>333</v>
      </c>
      <c r="H26" s="54" t="s">
        <v>334</v>
      </c>
      <c r="M26" s="54" t="s">
        <v>335</v>
      </c>
    </row>
    <row r="27" customFormat="false" ht="15" hidden="false" customHeight="true" outlineLevel="0" collapsed="false">
      <c r="C27" s="58" t="n">
        <v>250</v>
      </c>
      <c r="D27" s="58" t="n">
        <v>250</v>
      </c>
      <c r="E27" s="58" t="n">
        <v>250</v>
      </c>
      <c r="F27" s="58" t="n">
        <v>250</v>
      </c>
      <c r="G27" s="58" t="n">
        <v>250</v>
      </c>
      <c r="H27" s="58" t="n">
        <v>500</v>
      </c>
      <c r="I27" s="58" t="n">
        <v>500</v>
      </c>
      <c r="J27" s="58" t="n">
        <v>500</v>
      </c>
      <c r="K27" s="58" t="n">
        <v>500</v>
      </c>
      <c r="L27" s="58" t="n">
        <v>500</v>
      </c>
      <c r="M27" s="58" t="n">
        <v>1000</v>
      </c>
      <c r="N27" s="58" t="n">
        <v>1000</v>
      </c>
      <c r="O27" s="58" t="n">
        <v>1000</v>
      </c>
      <c r="P27" s="58" t="n">
        <v>1000</v>
      </c>
      <c r="Q27" s="58" t="n">
        <v>1000</v>
      </c>
    </row>
    <row r="28" customFormat="false" ht="15" hidden="false" customHeight="true" outlineLevel="0" collapsed="false">
      <c r="C28" s="56" t="n">
        <v>1</v>
      </c>
      <c r="D28" s="56" t="n">
        <v>0.95</v>
      </c>
      <c r="E28" s="56" t="n">
        <v>0.9</v>
      </c>
      <c r="F28" s="56" t="n">
        <v>0.85</v>
      </c>
      <c r="G28" s="56" t="n">
        <v>0.8</v>
      </c>
      <c r="H28" s="56" t="n">
        <v>1</v>
      </c>
      <c r="I28" s="56" t="n">
        <v>0.95</v>
      </c>
      <c r="J28" s="56" t="n">
        <v>0.9</v>
      </c>
      <c r="K28" s="56" t="n">
        <v>0.85</v>
      </c>
      <c r="L28" s="56" t="n">
        <v>0.8</v>
      </c>
      <c r="M28" s="56" t="n">
        <v>1</v>
      </c>
      <c r="N28" s="56" t="n">
        <v>0.95</v>
      </c>
      <c r="O28" s="56" t="n">
        <v>0.9</v>
      </c>
      <c r="P28" s="56" t="n">
        <v>0.85</v>
      </c>
      <c r="Q28" s="56" t="n">
        <v>0.8</v>
      </c>
    </row>
    <row r="29" customFormat="false" ht="15" hidden="false" customHeight="true" outlineLevel="0" collapsed="false">
      <c r="B29" s="54" t="s">
        <v>256</v>
      </c>
    </row>
    <row r="30" customFormat="false" ht="15" hidden="false" customHeight="true" outlineLevel="0" collapsed="false">
      <c r="B30" s="39" t="n">
        <f aca="false">BTC_Sensitivity!B6</f>
        <v>20000</v>
      </c>
      <c r="C30" s="57" t="n">
        <f aca="false">MAX(0,MIN(1,(($B30*Assumptions!$B$6/1000000)*C$28-C$27-Assumptions!$B$21*Assumptions!$B$22*MAX(0,$B30*Assumptions!$B$6/1000000*C$28-Assumptions!$B$7)+Assumptions!$B$14-Waterfall!$C$17)/Waterfall!$B$18))</f>
        <v>0.92017381</v>
      </c>
      <c r="D30" s="57" t="n">
        <f aca="false">MAX(0,MIN(1,(($B30*Assumptions!$B$6/1000000)*D$28-D$27-Assumptions!$B$21*Assumptions!$B$22*MAX(0,$B30*Assumptions!$B$6/1000000*D$28-Assumptions!$B$7)+Assumptions!$B$14-Waterfall!$C$17)/Waterfall!$B$18))</f>
        <v>0.83579631</v>
      </c>
      <c r="E30" s="57" t="n">
        <f aca="false">MAX(0,MIN(1,(($B30*Assumptions!$B$6/1000000)*E$28-E$27-Assumptions!$B$21*Assumptions!$B$22*MAX(0,$B30*Assumptions!$B$6/1000000*E$28-Assumptions!$B$7)+Assumptions!$B$14-Waterfall!$C$17)/Waterfall!$B$18))</f>
        <v>0.75141881</v>
      </c>
      <c r="F30" s="57" t="n">
        <f aca="false">MAX(0,MIN(1,(($B30*Assumptions!$B$6/1000000)*F$28-F$27-Assumptions!$B$21*Assumptions!$B$22*MAX(0,$B30*Assumptions!$B$6/1000000*F$28-Assumptions!$B$7)+Assumptions!$B$14-Waterfall!$C$17)/Waterfall!$B$18))</f>
        <v>0.66704131</v>
      </c>
      <c r="G30" s="57" t="n">
        <f aca="false">MAX(0,MIN(1,(($B30*Assumptions!$B$6/1000000)*G$28-G$27-Assumptions!$B$21*Assumptions!$B$22*MAX(0,$B30*Assumptions!$B$6/1000000*G$28-Assumptions!$B$7)+Assumptions!$B$14-Waterfall!$C$17)/Waterfall!$B$18))</f>
        <v>0.58266381</v>
      </c>
      <c r="H30" s="57" t="n">
        <f aca="false">MAX(0,MIN(1,(($B30*Assumptions!$B$6/1000000)*H$28-H$27-Assumptions!$B$21*Assumptions!$B$22*MAX(0,$B30*Assumptions!$B$6/1000000*H$28-Assumptions!$B$7)+Assumptions!$B$14-Waterfall!$C$17)/Waterfall!$B$18))</f>
        <v>0.89517381</v>
      </c>
      <c r="I30" s="57" t="n">
        <f aca="false">MAX(0,MIN(1,(($B30*Assumptions!$B$6/1000000)*I$28-I$27-Assumptions!$B$21*Assumptions!$B$22*MAX(0,$B30*Assumptions!$B$6/1000000*I$28-Assumptions!$B$7)+Assumptions!$B$14-Waterfall!$C$17)/Waterfall!$B$18))</f>
        <v>0.81079631</v>
      </c>
      <c r="J30" s="57" t="n">
        <f aca="false">MAX(0,MIN(1,(($B30*Assumptions!$B$6/1000000)*J$28-J$27-Assumptions!$B$21*Assumptions!$B$22*MAX(0,$B30*Assumptions!$B$6/1000000*J$28-Assumptions!$B$7)+Assumptions!$B$14-Waterfall!$C$17)/Waterfall!$B$18))</f>
        <v>0.72641881</v>
      </c>
      <c r="K30" s="57" t="n">
        <f aca="false">MAX(0,MIN(1,(($B30*Assumptions!$B$6/1000000)*K$28-K$27-Assumptions!$B$21*Assumptions!$B$22*MAX(0,$B30*Assumptions!$B$6/1000000*K$28-Assumptions!$B$7)+Assumptions!$B$14-Waterfall!$C$17)/Waterfall!$B$18))</f>
        <v>0.64204131</v>
      </c>
      <c r="L30" s="57" t="n">
        <f aca="false">MAX(0,MIN(1,(($B30*Assumptions!$B$6/1000000)*L$28-L$27-Assumptions!$B$21*Assumptions!$B$22*MAX(0,$B30*Assumptions!$B$6/1000000*L$28-Assumptions!$B$7)+Assumptions!$B$14-Waterfall!$C$17)/Waterfall!$B$18))</f>
        <v>0.55766381</v>
      </c>
      <c r="M30" s="57" t="n">
        <f aca="false">MAX(0,MIN(1,(($B30*Assumptions!$B$6/1000000)*M$28-M$27-Assumptions!$B$21*Assumptions!$B$22*MAX(0,$B30*Assumptions!$B$6/1000000*M$28-Assumptions!$B$7)+Assumptions!$B$14-Waterfall!$C$17)/Waterfall!$B$18))</f>
        <v>0.84517381</v>
      </c>
      <c r="N30" s="57" t="n">
        <f aca="false">MAX(0,MIN(1,(($B30*Assumptions!$B$6/1000000)*N$28-N$27-Assumptions!$B$21*Assumptions!$B$22*MAX(0,$B30*Assumptions!$B$6/1000000*N$28-Assumptions!$B$7)+Assumptions!$B$14-Waterfall!$C$17)/Waterfall!$B$18))</f>
        <v>0.76079631</v>
      </c>
      <c r="O30" s="57" t="n">
        <f aca="false">MAX(0,MIN(1,(($B30*Assumptions!$B$6/1000000)*O$28-O$27-Assumptions!$B$21*Assumptions!$B$22*MAX(0,$B30*Assumptions!$B$6/1000000*O$28-Assumptions!$B$7)+Assumptions!$B$14-Waterfall!$C$17)/Waterfall!$B$18))</f>
        <v>0.67641881</v>
      </c>
      <c r="P30" s="57" t="n">
        <f aca="false">MAX(0,MIN(1,(($B30*Assumptions!$B$6/1000000)*P$28-P$27-Assumptions!$B$21*Assumptions!$B$22*MAX(0,$B30*Assumptions!$B$6/1000000*P$28-Assumptions!$B$7)+Assumptions!$B$14-Waterfall!$C$17)/Waterfall!$B$18))</f>
        <v>0.59204131</v>
      </c>
      <c r="Q30" s="57" t="n">
        <f aca="false">MAX(0,MIN(1,(($B30*Assumptions!$B$6/1000000)*Q$28-Q$27-Assumptions!$B$21*Assumptions!$B$22*MAX(0,$B30*Assumptions!$B$6/1000000*Q$28-Assumptions!$B$7)+Assumptions!$B$14-Waterfall!$C$17)/Waterfall!$B$18))</f>
        <v>0.50766381</v>
      </c>
    </row>
    <row r="31" customFormat="false" ht="15" hidden="false" customHeight="true" outlineLevel="0" collapsed="false">
      <c r="B31" s="39" t="n">
        <f aca="false">BTC_Sensitivity!B7</f>
        <v>25000</v>
      </c>
      <c r="C31" s="57" t="n">
        <f aca="false">MAX(0,MIN(1,(($B31*Assumptions!$B$6/1000000)*C$28-C$27-Assumptions!$B$21*Assumptions!$B$22*MAX(0,$B31*Assumptions!$B$6/1000000*C$28-Assumptions!$B$7)+Assumptions!$B$14-Waterfall!$C$17)/Waterfall!$B$18))</f>
        <v>1</v>
      </c>
      <c r="D31" s="57" t="n">
        <f aca="false">MAX(0,MIN(1,(($B31*Assumptions!$B$6/1000000)*D$28-D$27-Assumptions!$B$21*Assumptions!$B$22*MAX(0,$B31*Assumptions!$B$6/1000000*D$28-Assumptions!$B$7)+Assumptions!$B$14-Waterfall!$C$17)/Waterfall!$B$18))</f>
        <v>1</v>
      </c>
      <c r="E31" s="57" t="n">
        <f aca="false">MAX(0,MIN(1,(($B31*Assumptions!$B$6/1000000)*E$28-E$27-Assumptions!$B$21*Assumptions!$B$22*MAX(0,$B31*Assumptions!$B$6/1000000*E$28-Assumptions!$B$7)+Assumptions!$B$14-Waterfall!$C$17)/Waterfall!$B$18))</f>
        <v>1</v>
      </c>
      <c r="F31" s="57" t="n">
        <f aca="false">MAX(0,MIN(1,(($B31*Assumptions!$B$6/1000000)*F$28-F$27-Assumptions!$B$21*Assumptions!$B$22*MAX(0,$B31*Assumptions!$B$6/1000000*F$28-Assumptions!$B$7)+Assumptions!$B$14-Waterfall!$C$17)/Waterfall!$B$18))</f>
        <v>1</v>
      </c>
      <c r="G31" s="57" t="n">
        <f aca="false">MAX(0,MIN(1,(($B31*Assumptions!$B$6/1000000)*G$28-G$27-Assumptions!$B$21*Assumptions!$B$22*MAX(0,$B31*Assumptions!$B$6/1000000*G$28-Assumptions!$B$7)+Assumptions!$B$14-Waterfall!$C$17)/Waterfall!$B$18))</f>
        <v>0.92017381</v>
      </c>
      <c r="H31" s="57" t="n">
        <f aca="false">MAX(0,MIN(1,(($B31*Assumptions!$B$6/1000000)*H$28-H$27-Assumptions!$B$21*Assumptions!$B$22*MAX(0,$B31*Assumptions!$B$6/1000000*H$28-Assumptions!$B$7)+Assumptions!$B$14-Waterfall!$C$17)/Waterfall!$B$18))</f>
        <v>1</v>
      </c>
      <c r="I31" s="57" t="n">
        <f aca="false">MAX(0,MIN(1,(($B31*Assumptions!$B$6/1000000)*I$28-I$27-Assumptions!$B$21*Assumptions!$B$22*MAX(0,$B31*Assumptions!$B$6/1000000*I$28-Assumptions!$B$7)+Assumptions!$B$14-Waterfall!$C$17)/Waterfall!$B$18))</f>
        <v>1</v>
      </c>
      <c r="J31" s="57" t="n">
        <f aca="false">MAX(0,MIN(1,(($B31*Assumptions!$B$6/1000000)*J$28-J$27-Assumptions!$B$21*Assumptions!$B$22*MAX(0,$B31*Assumptions!$B$6/1000000*J$28-Assumptions!$B$7)+Assumptions!$B$14-Waterfall!$C$17)/Waterfall!$B$18))</f>
        <v>1</v>
      </c>
      <c r="K31" s="57" t="n">
        <f aca="false">MAX(0,MIN(1,(($B31*Assumptions!$B$6/1000000)*K$28-K$27-Assumptions!$B$21*Assumptions!$B$22*MAX(0,$B31*Assumptions!$B$6/1000000*K$28-Assumptions!$B$7)+Assumptions!$B$14-Waterfall!$C$17)/Waterfall!$B$18))</f>
        <v>1</v>
      </c>
      <c r="L31" s="57" t="n">
        <f aca="false">MAX(0,MIN(1,(($B31*Assumptions!$B$6/1000000)*L$28-L$27-Assumptions!$B$21*Assumptions!$B$22*MAX(0,$B31*Assumptions!$B$6/1000000*L$28-Assumptions!$B$7)+Assumptions!$B$14-Waterfall!$C$17)/Waterfall!$B$18))</f>
        <v>0.89517381</v>
      </c>
      <c r="M31" s="57" t="n">
        <f aca="false">MAX(0,MIN(1,(($B31*Assumptions!$B$6/1000000)*M$28-M$27-Assumptions!$B$21*Assumptions!$B$22*MAX(0,$B31*Assumptions!$B$6/1000000*M$28-Assumptions!$B$7)+Assumptions!$B$14-Waterfall!$C$17)/Waterfall!$B$18))</f>
        <v>1</v>
      </c>
      <c r="N31" s="57" t="n">
        <f aca="false">MAX(0,MIN(1,(($B31*Assumptions!$B$6/1000000)*N$28-N$27-Assumptions!$B$21*Assumptions!$B$22*MAX(0,$B31*Assumptions!$B$6/1000000*N$28-Assumptions!$B$7)+Assumptions!$B$14-Waterfall!$C$17)/Waterfall!$B$18))</f>
        <v>1</v>
      </c>
      <c r="O31" s="57" t="n">
        <f aca="false">MAX(0,MIN(1,(($B31*Assumptions!$B$6/1000000)*O$28-O$27-Assumptions!$B$21*Assumptions!$B$22*MAX(0,$B31*Assumptions!$B$6/1000000*O$28-Assumptions!$B$7)+Assumptions!$B$14-Waterfall!$C$17)/Waterfall!$B$18))</f>
        <v>1</v>
      </c>
      <c r="P31" s="57" t="n">
        <f aca="false">MAX(0,MIN(1,(($B31*Assumptions!$B$6/1000000)*P$28-P$27-Assumptions!$B$21*Assumptions!$B$22*MAX(0,$B31*Assumptions!$B$6/1000000*P$28-Assumptions!$B$7)+Assumptions!$B$14-Waterfall!$C$17)/Waterfall!$B$18))</f>
        <v>0.950645685</v>
      </c>
      <c r="Q31" s="57" t="n">
        <f aca="false">MAX(0,MIN(1,(($B31*Assumptions!$B$6/1000000)*Q$28-Q$27-Assumptions!$B$21*Assumptions!$B$22*MAX(0,$B31*Assumptions!$B$6/1000000*Q$28-Assumptions!$B$7)+Assumptions!$B$14-Waterfall!$C$17)/Waterfall!$B$18))</f>
        <v>0.84517381</v>
      </c>
    </row>
    <row r="32" customFormat="false" ht="15" hidden="false" customHeight="true" outlineLevel="0" collapsed="false">
      <c r="B32" s="39" t="n">
        <f aca="false">BTC_Sensitivity!B8</f>
        <v>30000</v>
      </c>
      <c r="C32" s="57" t="n">
        <f aca="false">MAX(0,MIN(1,(($B32*Assumptions!$B$6/1000000)*C$28-C$27-Assumptions!$B$21*Assumptions!$B$22*MAX(0,$B32*Assumptions!$B$6/1000000*C$28-Assumptions!$B$7)+Assumptions!$B$14-Waterfall!$C$17)/Waterfall!$B$18))</f>
        <v>1</v>
      </c>
      <c r="D32" s="57" t="n">
        <f aca="false">MAX(0,MIN(1,(($B32*Assumptions!$B$6/1000000)*D$28-D$27-Assumptions!$B$21*Assumptions!$B$22*MAX(0,$B32*Assumptions!$B$6/1000000*D$28-Assumptions!$B$7)+Assumptions!$B$14-Waterfall!$C$17)/Waterfall!$B$18))</f>
        <v>1</v>
      </c>
      <c r="E32" s="57" t="n">
        <f aca="false">MAX(0,MIN(1,(($B32*Assumptions!$B$6/1000000)*E$28-E$27-Assumptions!$B$21*Assumptions!$B$22*MAX(0,$B32*Assumptions!$B$6/1000000*E$28-Assumptions!$B$7)+Assumptions!$B$14-Waterfall!$C$17)/Waterfall!$B$18))</f>
        <v>1</v>
      </c>
      <c r="F32" s="57" t="n">
        <f aca="false">MAX(0,MIN(1,(($B32*Assumptions!$B$6/1000000)*F$28-F$27-Assumptions!$B$21*Assumptions!$B$22*MAX(0,$B32*Assumptions!$B$6/1000000*F$28-Assumptions!$B$7)+Assumptions!$B$14-Waterfall!$C$17)/Waterfall!$B$18))</f>
        <v>1</v>
      </c>
      <c r="G32" s="57" t="n">
        <f aca="false">MAX(0,MIN(1,(($B32*Assumptions!$B$6/1000000)*G$28-G$27-Assumptions!$B$21*Assumptions!$B$22*MAX(0,$B32*Assumptions!$B$6/1000000*G$28-Assumptions!$B$7)+Assumptions!$B$14-Waterfall!$C$17)/Waterfall!$B$18))</f>
        <v>1</v>
      </c>
      <c r="H32" s="57" t="n">
        <f aca="false">MAX(0,MIN(1,(($B32*Assumptions!$B$6/1000000)*H$28-H$27-Assumptions!$B$21*Assumptions!$B$22*MAX(0,$B32*Assumptions!$B$6/1000000*H$28-Assumptions!$B$7)+Assumptions!$B$14-Waterfall!$C$17)/Waterfall!$B$18))</f>
        <v>1</v>
      </c>
      <c r="I32" s="57" t="n">
        <f aca="false">MAX(0,MIN(1,(($B32*Assumptions!$B$6/1000000)*I$28-I$27-Assumptions!$B$21*Assumptions!$B$22*MAX(0,$B32*Assumptions!$B$6/1000000*I$28-Assumptions!$B$7)+Assumptions!$B$14-Waterfall!$C$17)/Waterfall!$B$18))</f>
        <v>1</v>
      </c>
      <c r="J32" s="57" t="n">
        <f aca="false">MAX(0,MIN(1,(($B32*Assumptions!$B$6/1000000)*J$28-J$27-Assumptions!$B$21*Assumptions!$B$22*MAX(0,$B32*Assumptions!$B$6/1000000*J$28-Assumptions!$B$7)+Assumptions!$B$14-Waterfall!$C$17)/Waterfall!$B$18))</f>
        <v>1</v>
      </c>
      <c r="K32" s="57" t="n">
        <f aca="false">MAX(0,MIN(1,(($B32*Assumptions!$B$6/1000000)*K$28-K$27-Assumptions!$B$21*Assumptions!$B$22*MAX(0,$B32*Assumptions!$B$6/1000000*K$28-Assumptions!$B$7)+Assumptions!$B$14-Waterfall!$C$17)/Waterfall!$B$18))</f>
        <v>1</v>
      </c>
      <c r="L32" s="57" t="n">
        <f aca="false">MAX(0,MIN(1,(($B32*Assumptions!$B$6/1000000)*L$28-L$27-Assumptions!$B$21*Assumptions!$B$22*MAX(0,$B32*Assumptions!$B$6/1000000*L$28-Assumptions!$B$7)+Assumptions!$B$14-Waterfall!$C$17)/Waterfall!$B$18))</f>
        <v>1</v>
      </c>
      <c r="M32" s="57" t="n">
        <f aca="false">MAX(0,MIN(1,(($B32*Assumptions!$B$6/1000000)*M$28-M$27-Assumptions!$B$21*Assumptions!$B$22*MAX(0,$B32*Assumptions!$B$6/1000000*M$28-Assumptions!$B$7)+Assumptions!$B$14-Waterfall!$C$17)/Waterfall!$B$18))</f>
        <v>1</v>
      </c>
      <c r="N32" s="57" t="n">
        <f aca="false">MAX(0,MIN(1,(($B32*Assumptions!$B$6/1000000)*N$28-N$27-Assumptions!$B$21*Assumptions!$B$22*MAX(0,$B32*Assumptions!$B$6/1000000*N$28-Assumptions!$B$7)+Assumptions!$B$14-Waterfall!$C$17)/Waterfall!$B$18))</f>
        <v>1</v>
      </c>
      <c r="O32" s="57" t="n">
        <f aca="false">MAX(0,MIN(1,(($B32*Assumptions!$B$6/1000000)*O$28-O$27-Assumptions!$B$21*Assumptions!$B$22*MAX(0,$B32*Assumptions!$B$6/1000000*O$28-Assumptions!$B$7)+Assumptions!$B$14-Waterfall!$C$17)/Waterfall!$B$18))</f>
        <v>1</v>
      </c>
      <c r="P32" s="57" t="n">
        <f aca="false">MAX(0,MIN(1,(($B32*Assumptions!$B$6/1000000)*P$28-P$27-Assumptions!$B$21*Assumptions!$B$22*MAX(0,$B32*Assumptions!$B$6/1000000*P$28-Assumptions!$B$7)+Assumptions!$B$14-Waterfall!$C$17)/Waterfall!$B$18))</f>
        <v>1</v>
      </c>
      <c r="Q32" s="57" t="n">
        <f aca="false">MAX(0,MIN(1,(($B32*Assumptions!$B$6/1000000)*Q$28-Q$27-Assumptions!$B$21*Assumptions!$B$22*MAX(0,$B32*Assumptions!$B$6/1000000*Q$28-Assumptions!$B$7)+Assumptions!$B$14-Waterfall!$C$17)/Waterfall!$B$18))</f>
        <v>1</v>
      </c>
    </row>
    <row r="33" customFormat="false" ht="15" hidden="false" customHeight="true" outlineLevel="0" collapsed="false">
      <c r="B33" s="39" t="n">
        <f aca="false">BTC_Sensitivity!B9</f>
        <v>35000</v>
      </c>
      <c r="C33" s="57" t="n">
        <f aca="false">MAX(0,MIN(1,(($B33*Assumptions!$B$6/1000000)*C$28-C$27-Assumptions!$B$21*Assumptions!$B$22*MAX(0,$B33*Assumptions!$B$6/1000000*C$28-Assumptions!$B$7)+Assumptions!$B$14-Waterfall!$C$17)/Waterfall!$B$18))</f>
        <v>1</v>
      </c>
      <c r="D33" s="57" t="n">
        <f aca="false">MAX(0,MIN(1,(($B33*Assumptions!$B$6/1000000)*D$28-D$27-Assumptions!$B$21*Assumptions!$B$22*MAX(0,$B33*Assumptions!$B$6/1000000*D$28-Assumptions!$B$7)+Assumptions!$B$14-Waterfall!$C$17)/Waterfall!$B$18))</f>
        <v>1</v>
      </c>
      <c r="E33" s="57" t="n">
        <f aca="false">MAX(0,MIN(1,(($B33*Assumptions!$B$6/1000000)*E$28-E$27-Assumptions!$B$21*Assumptions!$B$22*MAX(0,$B33*Assumptions!$B$6/1000000*E$28-Assumptions!$B$7)+Assumptions!$B$14-Waterfall!$C$17)/Waterfall!$B$18))</f>
        <v>1</v>
      </c>
      <c r="F33" s="57" t="n">
        <f aca="false">MAX(0,MIN(1,(($B33*Assumptions!$B$6/1000000)*F$28-F$27-Assumptions!$B$21*Assumptions!$B$22*MAX(0,$B33*Assumptions!$B$6/1000000*F$28-Assumptions!$B$7)+Assumptions!$B$14-Waterfall!$C$17)/Waterfall!$B$18))</f>
        <v>1</v>
      </c>
      <c r="G33" s="57" t="n">
        <f aca="false">MAX(0,MIN(1,(($B33*Assumptions!$B$6/1000000)*G$28-G$27-Assumptions!$B$21*Assumptions!$B$22*MAX(0,$B33*Assumptions!$B$6/1000000*G$28-Assumptions!$B$7)+Assumptions!$B$14-Waterfall!$C$17)/Waterfall!$B$18))</f>
        <v>1</v>
      </c>
      <c r="H33" s="57" t="n">
        <f aca="false">MAX(0,MIN(1,(($B33*Assumptions!$B$6/1000000)*H$28-H$27-Assumptions!$B$21*Assumptions!$B$22*MAX(0,$B33*Assumptions!$B$6/1000000*H$28-Assumptions!$B$7)+Assumptions!$B$14-Waterfall!$C$17)/Waterfall!$B$18))</f>
        <v>1</v>
      </c>
      <c r="I33" s="57" t="n">
        <f aca="false">MAX(0,MIN(1,(($B33*Assumptions!$B$6/1000000)*I$28-I$27-Assumptions!$B$21*Assumptions!$B$22*MAX(0,$B33*Assumptions!$B$6/1000000*I$28-Assumptions!$B$7)+Assumptions!$B$14-Waterfall!$C$17)/Waterfall!$B$18))</f>
        <v>1</v>
      </c>
      <c r="J33" s="57" t="n">
        <f aca="false">MAX(0,MIN(1,(($B33*Assumptions!$B$6/1000000)*J$28-J$27-Assumptions!$B$21*Assumptions!$B$22*MAX(0,$B33*Assumptions!$B$6/1000000*J$28-Assumptions!$B$7)+Assumptions!$B$14-Waterfall!$C$17)/Waterfall!$B$18))</f>
        <v>1</v>
      </c>
      <c r="K33" s="57" t="n">
        <f aca="false">MAX(0,MIN(1,(($B33*Assumptions!$B$6/1000000)*K$28-K$27-Assumptions!$B$21*Assumptions!$B$22*MAX(0,$B33*Assumptions!$B$6/1000000*K$28-Assumptions!$B$7)+Assumptions!$B$14-Waterfall!$C$17)/Waterfall!$B$18))</f>
        <v>1</v>
      </c>
      <c r="L33" s="57" t="n">
        <f aca="false">MAX(0,MIN(1,(($B33*Assumptions!$B$6/1000000)*L$28-L$27-Assumptions!$B$21*Assumptions!$B$22*MAX(0,$B33*Assumptions!$B$6/1000000*L$28-Assumptions!$B$7)+Assumptions!$B$14-Waterfall!$C$17)/Waterfall!$B$18))</f>
        <v>1</v>
      </c>
      <c r="M33" s="57" t="n">
        <f aca="false">MAX(0,MIN(1,(($B33*Assumptions!$B$6/1000000)*M$28-M$27-Assumptions!$B$21*Assumptions!$B$22*MAX(0,$B33*Assumptions!$B$6/1000000*M$28-Assumptions!$B$7)+Assumptions!$B$14-Waterfall!$C$17)/Waterfall!$B$18))</f>
        <v>1</v>
      </c>
      <c r="N33" s="57" t="n">
        <f aca="false">MAX(0,MIN(1,(($B33*Assumptions!$B$6/1000000)*N$28-N$27-Assumptions!$B$21*Assumptions!$B$22*MAX(0,$B33*Assumptions!$B$6/1000000*N$28-Assumptions!$B$7)+Assumptions!$B$14-Waterfall!$C$17)/Waterfall!$B$18))</f>
        <v>1</v>
      </c>
      <c r="O33" s="57" t="n">
        <f aca="false">MAX(0,MIN(1,(($B33*Assumptions!$B$6/1000000)*O$28-O$27-Assumptions!$B$21*Assumptions!$B$22*MAX(0,$B33*Assumptions!$B$6/1000000*O$28-Assumptions!$B$7)+Assumptions!$B$14-Waterfall!$C$17)/Waterfall!$B$18))</f>
        <v>1</v>
      </c>
      <c r="P33" s="57" t="n">
        <f aca="false">MAX(0,MIN(1,(($B33*Assumptions!$B$6/1000000)*P$28-P$27-Assumptions!$B$21*Assumptions!$B$22*MAX(0,$B33*Assumptions!$B$6/1000000*P$28-Assumptions!$B$7)+Assumptions!$B$14-Waterfall!$C$17)/Waterfall!$B$18))</f>
        <v>1</v>
      </c>
      <c r="Q33" s="57" t="n">
        <f aca="false">MAX(0,MIN(1,(($B33*Assumptions!$B$6/1000000)*Q$28-Q$27-Assumptions!$B$21*Assumptions!$B$22*MAX(0,$B33*Assumptions!$B$6/1000000*Q$28-Assumptions!$B$7)+Assumptions!$B$14-Waterfall!$C$17)/Waterfall!$B$18))</f>
        <v>1</v>
      </c>
    </row>
    <row r="34" customFormat="false" ht="15" hidden="false" customHeight="true" outlineLevel="0" collapsed="false">
      <c r="B34" s="39" t="n">
        <f aca="false">BTC_Sensitivity!B10</f>
        <v>40000</v>
      </c>
      <c r="C34" s="57" t="n">
        <f aca="false">MAX(0,MIN(1,(($B34*Assumptions!$B$6/1000000)*C$28-C$27-Assumptions!$B$21*Assumptions!$B$22*MAX(0,$B34*Assumptions!$B$6/1000000*C$28-Assumptions!$B$7)+Assumptions!$B$14-Waterfall!$C$17)/Waterfall!$B$18))</f>
        <v>1</v>
      </c>
      <c r="D34" s="57" t="n">
        <f aca="false">MAX(0,MIN(1,(($B34*Assumptions!$B$6/1000000)*D$28-D$27-Assumptions!$B$21*Assumptions!$B$22*MAX(0,$B34*Assumptions!$B$6/1000000*D$28-Assumptions!$B$7)+Assumptions!$B$14-Waterfall!$C$17)/Waterfall!$B$18))</f>
        <v>1</v>
      </c>
      <c r="E34" s="57" t="n">
        <f aca="false">MAX(0,MIN(1,(($B34*Assumptions!$B$6/1000000)*E$28-E$27-Assumptions!$B$21*Assumptions!$B$22*MAX(0,$B34*Assumptions!$B$6/1000000*E$28-Assumptions!$B$7)+Assumptions!$B$14-Waterfall!$C$17)/Waterfall!$B$18))</f>
        <v>1</v>
      </c>
      <c r="F34" s="57" t="n">
        <f aca="false">MAX(0,MIN(1,(($B34*Assumptions!$B$6/1000000)*F$28-F$27-Assumptions!$B$21*Assumptions!$B$22*MAX(0,$B34*Assumptions!$B$6/1000000*F$28-Assumptions!$B$7)+Assumptions!$B$14-Waterfall!$C$17)/Waterfall!$B$18))</f>
        <v>1</v>
      </c>
      <c r="G34" s="57" t="n">
        <f aca="false">MAX(0,MIN(1,(($B34*Assumptions!$B$6/1000000)*G$28-G$27-Assumptions!$B$21*Assumptions!$B$22*MAX(0,$B34*Assumptions!$B$6/1000000*G$28-Assumptions!$B$7)+Assumptions!$B$14-Waterfall!$C$17)/Waterfall!$B$18))</f>
        <v>1</v>
      </c>
      <c r="H34" s="57" t="n">
        <f aca="false">MAX(0,MIN(1,(($B34*Assumptions!$B$6/1000000)*H$28-H$27-Assumptions!$B$21*Assumptions!$B$22*MAX(0,$B34*Assumptions!$B$6/1000000*H$28-Assumptions!$B$7)+Assumptions!$B$14-Waterfall!$C$17)/Waterfall!$B$18))</f>
        <v>1</v>
      </c>
      <c r="I34" s="57" t="n">
        <f aca="false">MAX(0,MIN(1,(($B34*Assumptions!$B$6/1000000)*I$28-I$27-Assumptions!$B$21*Assumptions!$B$22*MAX(0,$B34*Assumptions!$B$6/1000000*I$28-Assumptions!$B$7)+Assumptions!$B$14-Waterfall!$C$17)/Waterfall!$B$18))</f>
        <v>1</v>
      </c>
      <c r="J34" s="57" t="n">
        <f aca="false">MAX(0,MIN(1,(($B34*Assumptions!$B$6/1000000)*J$28-J$27-Assumptions!$B$21*Assumptions!$B$22*MAX(0,$B34*Assumptions!$B$6/1000000*J$28-Assumptions!$B$7)+Assumptions!$B$14-Waterfall!$C$17)/Waterfall!$B$18))</f>
        <v>1</v>
      </c>
      <c r="K34" s="57" t="n">
        <f aca="false">MAX(0,MIN(1,(($B34*Assumptions!$B$6/1000000)*K$28-K$27-Assumptions!$B$21*Assumptions!$B$22*MAX(0,$B34*Assumptions!$B$6/1000000*K$28-Assumptions!$B$7)+Assumptions!$B$14-Waterfall!$C$17)/Waterfall!$B$18))</f>
        <v>1</v>
      </c>
      <c r="L34" s="57" t="n">
        <f aca="false">MAX(0,MIN(1,(($B34*Assumptions!$B$6/1000000)*L$28-L$27-Assumptions!$B$21*Assumptions!$B$22*MAX(0,$B34*Assumptions!$B$6/1000000*L$28-Assumptions!$B$7)+Assumptions!$B$14-Waterfall!$C$17)/Waterfall!$B$18))</f>
        <v>1</v>
      </c>
      <c r="M34" s="57" t="n">
        <f aca="false">MAX(0,MIN(1,(($B34*Assumptions!$B$6/1000000)*M$28-M$27-Assumptions!$B$21*Assumptions!$B$22*MAX(0,$B34*Assumptions!$B$6/1000000*M$28-Assumptions!$B$7)+Assumptions!$B$14-Waterfall!$C$17)/Waterfall!$B$18))</f>
        <v>1</v>
      </c>
      <c r="N34" s="57" t="n">
        <f aca="false">MAX(0,MIN(1,(($B34*Assumptions!$B$6/1000000)*N$28-N$27-Assumptions!$B$21*Assumptions!$B$22*MAX(0,$B34*Assumptions!$B$6/1000000*N$28-Assumptions!$B$7)+Assumptions!$B$14-Waterfall!$C$17)/Waterfall!$B$18))</f>
        <v>1</v>
      </c>
      <c r="O34" s="57" t="n">
        <f aca="false">MAX(0,MIN(1,(($B34*Assumptions!$B$6/1000000)*O$28-O$27-Assumptions!$B$21*Assumptions!$B$22*MAX(0,$B34*Assumptions!$B$6/1000000*O$28-Assumptions!$B$7)+Assumptions!$B$14-Waterfall!$C$17)/Waterfall!$B$18))</f>
        <v>1</v>
      </c>
      <c r="P34" s="57" t="n">
        <f aca="false">MAX(0,MIN(1,(($B34*Assumptions!$B$6/1000000)*P$28-P$27-Assumptions!$B$21*Assumptions!$B$22*MAX(0,$B34*Assumptions!$B$6/1000000*P$28-Assumptions!$B$7)+Assumptions!$B$14-Waterfall!$C$17)/Waterfall!$B$18))</f>
        <v>1</v>
      </c>
      <c r="Q34" s="57" t="n">
        <f aca="false">MAX(0,MIN(1,(($B34*Assumptions!$B$6/1000000)*Q$28-Q$27-Assumptions!$B$21*Assumptions!$B$22*MAX(0,$B34*Assumptions!$B$6/1000000*Q$28-Assumptions!$B$7)+Assumptions!$B$14-Waterfall!$C$17)/Waterfall!$B$18))</f>
        <v>1</v>
      </c>
    </row>
    <row r="35" customFormat="false" ht="15" hidden="false" customHeight="true" outlineLevel="0" collapsed="false">
      <c r="B35" s="39" t="n">
        <f aca="false">BTC_Sensitivity!B11</f>
        <v>45000</v>
      </c>
      <c r="C35" s="57" t="n">
        <f aca="false">MAX(0,MIN(1,(($B35*Assumptions!$B$6/1000000)*C$28-C$27-Assumptions!$B$21*Assumptions!$B$22*MAX(0,$B35*Assumptions!$B$6/1000000*C$28-Assumptions!$B$7)+Assumptions!$B$14-Waterfall!$C$17)/Waterfall!$B$18))</f>
        <v>1</v>
      </c>
      <c r="D35" s="57" t="n">
        <f aca="false">MAX(0,MIN(1,(($B35*Assumptions!$B$6/1000000)*D$28-D$27-Assumptions!$B$21*Assumptions!$B$22*MAX(0,$B35*Assumptions!$B$6/1000000*D$28-Assumptions!$B$7)+Assumptions!$B$14-Waterfall!$C$17)/Waterfall!$B$18))</f>
        <v>1</v>
      </c>
      <c r="E35" s="57" t="n">
        <f aca="false">MAX(0,MIN(1,(($B35*Assumptions!$B$6/1000000)*E$28-E$27-Assumptions!$B$21*Assumptions!$B$22*MAX(0,$B35*Assumptions!$B$6/1000000*E$28-Assumptions!$B$7)+Assumptions!$B$14-Waterfall!$C$17)/Waterfall!$B$18))</f>
        <v>1</v>
      </c>
      <c r="F35" s="57" t="n">
        <f aca="false">MAX(0,MIN(1,(($B35*Assumptions!$B$6/1000000)*F$28-F$27-Assumptions!$B$21*Assumptions!$B$22*MAX(0,$B35*Assumptions!$B$6/1000000*F$28-Assumptions!$B$7)+Assumptions!$B$14-Waterfall!$C$17)/Waterfall!$B$18))</f>
        <v>1</v>
      </c>
      <c r="G35" s="57" t="n">
        <f aca="false">MAX(0,MIN(1,(($B35*Assumptions!$B$6/1000000)*G$28-G$27-Assumptions!$B$21*Assumptions!$B$22*MAX(0,$B35*Assumptions!$B$6/1000000*G$28-Assumptions!$B$7)+Assumptions!$B$14-Waterfall!$C$17)/Waterfall!$B$18))</f>
        <v>1</v>
      </c>
      <c r="H35" s="57" t="n">
        <f aca="false">MAX(0,MIN(1,(($B35*Assumptions!$B$6/1000000)*H$28-H$27-Assumptions!$B$21*Assumptions!$B$22*MAX(0,$B35*Assumptions!$B$6/1000000*H$28-Assumptions!$B$7)+Assumptions!$B$14-Waterfall!$C$17)/Waterfall!$B$18))</f>
        <v>1</v>
      </c>
      <c r="I35" s="57" t="n">
        <f aca="false">MAX(0,MIN(1,(($B35*Assumptions!$B$6/1000000)*I$28-I$27-Assumptions!$B$21*Assumptions!$B$22*MAX(0,$B35*Assumptions!$B$6/1000000*I$28-Assumptions!$B$7)+Assumptions!$B$14-Waterfall!$C$17)/Waterfall!$B$18))</f>
        <v>1</v>
      </c>
      <c r="J35" s="57" t="n">
        <f aca="false">MAX(0,MIN(1,(($B35*Assumptions!$B$6/1000000)*J$28-J$27-Assumptions!$B$21*Assumptions!$B$22*MAX(0,$B35*Assumptions!$B$6/1000000*J$28-Assumptions!$B$7)+Assumptions!$B$14-Waterfall!$C$17)/Waterfall!$B$18))</f>
        <v>1</v>
      </c>
      <c r="K35" s="57" t="n">
        <f aca="false">MAX(0,MIN(1,(($B35*Assumptions!$B$6/1000000)*K$28-K$27-Assumptions!$B$21*Assumptions!$B$22*MAX(0,$B35*Assumptions!$B$6/1000000*K$28-Assumptions!$B$7)+Assumptions!$B$14-Waterfall!$C$17)/Waterfall!$B$18))</f>
        <v>1</v>
      </c>
      <c r="L35" s="57" t="n">
        <f aca="false">MAX(0,MIN(1,(($B35*Assumptions!$B$6/1000000)*L$28-L$27-Assumptions!$B$21*Assumptions!$B$22*MAX(0,$B35*Assumptions!$B$6/1000000*L$28-Assumptions!$B$7)+Assumptions!$B$14-Waterfall!$C$17)/Waterfall!$B$18))</f>
        <v>1</v>
      </c>
      <c r="M35" s="57" t="n">
        <f aca="false">MAX(0,MIN(1,(($B35*Assumptions!$B$6/1000000)*M$28-M$27-Assumptions!$B$21*Assumptions!$B$22*MAX(0,$B35*Assumptions!$B$6/1000000*M$28-Assumptions!$B$7)+Assumptions!$B$14-Waterfall!$C$17)/Waterfall!$B$18))</f>
        <v>1</v>
      </c>
      <c r="N35" s="57" t="n">
        <f aca="false">MAX(0,MIN(1,(($B35*Assumptions!$B$6/1000000)*N$28-N$27-Assumptions!$B$21*Assumptions!$B$22*MAX(0,$B35*Assumptions!$B$6/1000000*N$28-Assumptions!$B$7)+Assumptions!$B$14-Waterfall!$C$17)/Waterfall!$B$18))</f>
        <v>1</v>
      </c>
      <c r="O35" s="57" t="n">
        <f aca="false">MAX(0,MIN(1,(($B35*Assumptions!$B$6/1000000)*O$28-O$27-Assumptions!$B$21*Assumptions!$B$22*MAX(0,$B35*Assumptions!$B$6/1000000*O$28-Assumptions!$B$7)+Assumptions!$B$14-Waterfall!$C$17)/Waterfall!$B$18))</f>
        <v>1</v>
      </c>
      <c r="P35" s="57" t="n">
        <f aca="false">MAX(0,MIN(1,(($B35*Assumptions!$B$6/1000000)*P$28-P$27-Assumptions!$B$21*Assumptions!$B$22*MAX(0,$B35*Assumptions!$B$6/1000000*P$28-Assumptions!$B$7)+Assumptions!$B$14-Waterfall!$C$17)/Waterfall!$B$18))</f>
        <v>1</v>
      </c>
      <c r="Q35" s="57" t="n">
        <f aca="false">MAX(0,MIN(1,(($B35*Assumptions!$B$6/1000000)*Q$28-Q$27-Assumptions!$B$21*Assumptions!$B$22*MAX(0,$B35*Assumptions!$B$6/1000000*Q$28-Assumptions!$B$7)+Assumptions!$B$14-Waterfall!$C$17)/Waterfall!$B$18))</f>
        <v>1</v>
      </c>
    </row>
    <row r="36" customFormat="false" ht="15" hidden="false" customHeight="true" outlineLevel="0" collapsed="false">
      <c r="B36" s="39" t="n">
        <f aca="false">BTC_Sensitivity!B12</f>
        <v>50000</v>
      </c>
      <c r="C36" s="57" t="n">
        <f aca="false">MAX(0,MIN(1,(($B36*Assumptions!$B$6/1000000)*C$28-C$27-Assumptions!$B$21*Assumptions!$B$22*MAX(0,$B36*Assumptions!$B$6/1000000*C$28-Assumptions!$B$7)+Assumptions!$B$14-Waterfall!$C$17)/Waterfall!$B$18))</f>
        <v>1</v>
      </c>
      <c r="D36" s="57" t="n">
        <f aca="false">MAX(0,MIN(1,(($B36*Assumptions!$B$6/1000000)*D$28-D$27-Assumptions!$B$21*Assumptions!$B$22*MAX(0,$B36*Assumptions!$B$6/1000000*D$28-Assumptions!$B$7)+Assumptions!$B$14-Waterfall!$C$17)/Waterfall!$B$18))</f>
        <v>1</v>
      </c>
      <c r="E36" s="57" t="n">
        <f aca="false">MAX(0,MIN(1,(($B36*Assumptions!$B$6/1000000)*E$28-E$27-Assumptions!$B$21*Assumptions!$B$22*MAX(0,$B36*Assumptions!$B$6/1000000*E$28-Assumptions!$B$7)+Assumptions!$B$14-Waterfall!$C$17)/Waterfall!$B$18))</f>
        <v>1</v>
      </c>
      <c r="F36" s="57" t="n">
        <f aca="false">MAX(0,MIN(1,(($B36*Assumptions!$B$6/1000000)*F$28-F$27-Assumptions!$B$21*Assumptions!$B$22*MAX(0,$B36*Assumptions!$B$6/1000000*F$28-Assumptions!$B$7)+Assumptions!$B$14-Waterfall!$C$17)/Waterfall!$B$18))</f>
        <v>1</v>
      </c>
      <c r="G36" s="57" t="n">
        <f aca="false">MAX(0,MIN(1,(($B36*Assumptions!$B$6/1000000)*G$28-G$27-Assumptions!$B$21*Assumptions!$B$22*MAX(0,$B36*Assumptions!$B$6/1000000*G$28-Assumptions!$B$7)+Assumptions!$B$14-Waterfall!$C$17)/Waterfall!$B$18))</f>
        <v>1</v>
      </c>
      <c r="H36" s="57" t="n">
        <f aca="false">MAX(0,MIN(1,(($B36*Assumptions!$B$6/1000000)*H$28-H$27-Assumptions!$B$21*Assumptions!$B$22*MAX(0,$B36*Assumptions!$B$6/1000000*H$28-Assumptions!$B$7)+Assumptions!$B$14-Waterfall!$C$17)/Waterfall!$B$18))</f>
        <v>1</v>
      </c>
      <c r="I36" s="57" t="n">
        <f aca="false">MAX(0,MIN(1,(($B36*Assumptions!$B$6/1000000)*I$28-I$27-Assumptions!$B$21*Assumptions!$B$22*MAX(0,$B36*Assumptions!$B$6/1000000*I$28-Assumptions!$B$7)+Assumptions!$B$14-Waterfall!$C$17)/Waterfall!$B$18))</f>
        <v>1</v>
      </c>
      <c r="J36" s="57" t="n">
        <f aca="false">MAX(0,MIN(1,(($B36*Assumptions!$B$6/1000000)*J$28-J$27-Assumptions!$B$21*Assumptions!$B$22*MAX(0,$B36*Assumptions!$B$6/1000000*J$28-Assumptions!$B$7)+Assumptions!$B$14-Waterfall!$C$17)/Waterfall!$B$18))</f>
        <v>1</v>
      </c>
      <c r="K36" s="57" t="n">
        <f aca="false">MAX(0,MIN(1,(($B36*Assumptions!$B$6/1000000)*K$28-K$27-Assumptions!$B$21*Assumptions!$B$22*MAX(0,$B36*Assumptions!$B$6/1000000*K$28-Assumptions!$B$7)+Assumptions!$B$14-Waterfall!$C$17)/Waterfall!$B$18))</f>
        <v>1</v>
      </c>
      <c r="L36" s="57" t="n">
        <f aca="false">MAX(0,MIN(1,(($B36*Assumptions!$B$6/1000000)*L$28-L$27-Assumptions!$B$21*Assumptions!$B$22*MAX(0,$B36*Assumptions!$B$6/1000000*L$28-Assumptions!$B$7)+Assumptions!$B$14-Waterfall!$C$17)/Waterfall!$B$18))</f>
        <v>1</v>
      </c>
      <c r="M36" s="57" t="n">
        <f aca="false">MAX(0,MIN(1,(($B36*Assumptions!$B$6/1000000)*M$28-M$27-Assumptions!$B$21*Assumptions!$B$22*MAX(0,$B36*Assumptions!$B$6/1000000*M$28-Assumptions!$B$7)+Assumptions!$B$14-Waterfall!$C$17)/Waterfall!$B$18))</f>
        <v>1</v>
      </c>
      <c r="N36" s="57" t="n">
        <f aca="false">MAX(0,MIN(1,(($B36*Assumptions!$B$6/1000000)*N$28-N$27-Assumptions!$B$21*Assumptions!$B$22*MAX(0,$B36*Assumptions!$B$6/1000000*N$28-Assumptions!$B$7)+Assumptions!$B$14-Waterfall!$C$17)/Waterfall!$B$18))</f>
        <v>1</v>
      </c>
      <c r="O36" s="57" t="n">
        <f aca="false">MAX(0,MIN(1,(($B36*Assumptions!$B$6/1000000)*O$28-O$27-Assumptions!$B$21*Assumptions!$B$22*MAX(0,$B36*Assumptions!$B$6/1000000*O$28-Assumptions!$B$7)+Assumptions!$B$14-Waterfall!$C$17)/Waterfall!$B$18))</f>
        <v>1</v>
      </c>
      <c r="P36" s="57" t="n">
        <f aca="false">MAX(0,MIN(1,(($B36*Assumptions!$B$6/1000000)*P$28-P$27-Assumptions!$B$21*Assumptions!$B$22*MAX(0,$B36*Assumptions!$B$6/1000000*P$28-Assumptions!$B$7)+Assumptions!$B$14-Waterfall!$C$17)/Waterfall!$B$18))</f>
        <v>1</v>
      </c>
      <c r="Q36" s="57" t="n">
        <f aca="false">MAX(0,MIN(1,(($B36*Assumptions!$B$6/1000000)*Q$28-Q$27-Assumptions!$B$21*Assumptions!$B$22*MAX(0,$B36*Assumptions!$B$6/1000000*Q$28-Assumptions!$B$7)+Assumptions!$B$14-Waterfall!$C$17)/Waterfall!$B$18))</f>
        <v>1</v>
      </c>
    </row>
    <row r="37" customFormat="false" ht="15" hidden="false" customHeight="true" outlineLevel="0" collapsed="false">
      <c r="B37" s="39" t="n">
        <f aca="false">BTC_Sensitivity!B13</f>
        <v>55000</v>
      </c>
      <c r="C37" s="57" t="n">
        <f aca="false">MAX(0,MIN(1,(($B37*Assumptions!$B$6/1000000)*C$28-C$27-Assumptions!$B$21*Assumptions!$B$22*MAX(0,$B37*Assumptions!$B$6/1000000*C$28-Assumptions!$B$7)+Assumptions!$B$14-Waterfall!$C$17)/Waterfall!$B$18))</f>
        <v>1</v>
      </c>
      <c r="D37" s="57" t="n">
        <f aca="false">MAX(0,MIN(1,(($B37*Assumptions!$B$6/1000000)*D$28-D$27-Assumptions!$B$21*Assumptions!$B$22*MAX(0,$B37*Assumptions!$B$6/1000000*D$28-Assumptions!$B$7)+Assumptions!$B$14-Waterfall!$C$17)/Waterfall!$B$18))</f>
        <v>1</v>
      </c>
      <c r="E37" s="57" t="n">
        <f aca="false">MAX(0,MIN(1,(($B37*Assumptions!$B$6/1000000)*E$28-E$27-Assumptions!$B$21*Assumptions!$B$22*MAX(0,$B37*Assumptions!$B$6/1000000*E$28-Assumptions!$B$7)+Assumptions!$B$14-Waterfall!$C$17)/Waterfall!$B$18))</f>
        <v>1</v>
      </c>
      <c r="F37" s="57" t="n">
        <f aca="false">MAX(0,MIN(1,(($B37*Assumptions!$B$6/1000000)*F$28-F$27-Assumptions!$B$21*Assumptions!$B$22*MAX(0,$B37*Assumptions!$B$6/1000000*F$28-Assumptions!$B$7)+Assumptions!$B$14-Waterfall!$C$17)/Waterfall!$B$18))</f>
        <v>1</v>
      </c>
      <c r="G37" s="57" t="n">
        <f aca="false">MAX(0,MIN(1,(($B37*Assumptions!$B$6/1000000)*G$28-G$27-Assumptions!$B$21*Assumptions!$B$22*MAX(0,$B37*Assumptions!$B$6/1000000*G$28-Assumptions!$B$7)+Assumptions!$B$14-Waterfall!$C$17)/Waterfall!$B$18))</f>
        <v>1</v>
      </c>
      <c r="H37" s="57" t="n">
        <f aca="false">MAX(0,MIN(1,(($B37*Assumptions!$B$6/1000000)*H$28-H$27-Assumptions!$B$21*Assumptions!$B$22*MAX(0,$B37*Assumptions!$B$6/1000000*H$28-Assumptions!$B$7)+Assumptions!$B$14-Waterfall!$C$17)/Waterfall!$B$18))</f>
        <v>1</v>
      </c>
      <c r="I37" s="57" t="n">
        <f aca="false">MAX(0,MIN(1,(($B37*Assumptions!$B$6/1000000)*I$28-I$27-Assumptions!$B$21*Assumptions!$B$22*MAX(0,$B37*Assumptions!$B$6/1000000*I$28-Assumptions!$B$7)+Assumptions!$B$14-Waterfall!$C$17)/Waterfall!$B$18))</f>
        <v>1</v>
      </c>
      <c r="J37" s="57" t="n">
        <f aca="false">MAX(0,MIN(1,(($B37*Assumptions!$B$6/1000000)*J$28-J$27-Assumptions!$B$21*Assumptions!$B$22*MAX(0,$B37*Assumptions!$B$6/1000000*J$28-Assumptions!$B$7)+Assumptions!$B$14-Waterfall!$C$17)/Waterfall!$B$18))</f>
        <v>1</v>
      </c>
      <c r="K37" s="57" t="n">
        <f aca="false">MAX(0,MIN(1,(($B37*Assumptions!$B$6/1000000)*K$28-K$27-Assumptions!$B$21*Assumptions!$B$22*MAX(0,$B37*Assumptions!$B$6/1000000*K$28-Assumptions!$B$7)+Assumptions!$B$14-Waterfall!$C$17)/Waterfall!$B$18))</f>
        <v>1</v>
      </c>
      <c r="L37" s="57" t="n">
        <f aca="false">MAX(0,MIN(1,(($B37*Assumptions!$B$6/1000000)*L$28-L$27-Assumptions!$B$21*Assumptions!$B$22*MAX(0,$B37*Assumptions!$B$6/1000000*L$28-Assumptions!$B$7)+Assumptions!$B$14-Waterfall!$C$17)/Waterfall!$B$18))</f>
        <v>1</v>
      </c>
      <c r="M37" s="57" t="n">
        <f aca="false">MAX(0,MIN(1,(($B37*Assumptions!$B$6/1000000)*M$28-M$27-Assumptions!$B$21*Assumptions!$B$22*MAX(0,$B37*Assumptions!$B$6/1000000*M$28-Assumptions!$B$7)+Assumptions!$B$14-Waterfall!$C$17)/Waterfall!$B$18))</f>
        <v>1</v>
      </c>
      <c r="N37" s="57" t="n">
        <f aca="false">MAX(0,MIN(1,(($B37*Assumptions!$B$6/1000000)*N$28-N$27-Assumptions!$B$21*Assumptions!$B$22*MAX(0,$B37*Assumptions!$B$6/1000000*N$28-Assumptions!$B$7)+Assumptions!$B$14-Waterfall!$C$17)/Waterfall!$B$18))</f>
        <v>1</v>
      </c>
      <c r="O37" s="57" t="n">
        <f aca="false">MAX(0,MIN(1,(($B37*Assumptions!$B$6/1000000)*O$28-O$27-Assumptions!$B$21*Assumptions!$B$22*MAX(0,$B37*Assumptions!$B$6/1000000*O$28-Assumptions!$B$7)+Assumptions!$B$14-Waterfall!$C$17)/Waterfall!$B$18))</f>
        <v>1</v>
      </c>
      <c r="P37" s="57" t="n">
        <f aca="false">MAX(0,MIN(1,(($B37*Assumptions!$B$6/1000000)*P$28-P$27-Assumptions!$B$21*Assumptions!$B$22*MAX(0,$B37*Assumptions!$B$6/1000000*P$28-Assumptions!$B$7)+Assumptions!$B$14-Waterfall!$C$17)/Waterfall!$B$18))</f>
        <v>1</v>
      </c>
      <c r="Q37" s="57" t="n">
        <f aca="false">MAX(0,MIN(1,(($B37*Assumptions!$B$6/1000000)*Q$28-Q$27-Assumptions!$B$21*Assumptions!$B$22*MAX(0,$B37*Assumptions!$B$6/1000000*Q$28-Assumptions!$B$7)+Assumptions!$B$14-Waterfall!$C$17)/Waterfall!$B$18))</f>
        <v>1</v>
      </c>
    </row>
    <row r="38" customFormat="false" ht="15" hidden="false" customHeight="true" outlineLevel="0" collapsed="false">
      <c r="B38" s="39" t="n">
        <f aca="false">BTC_Sensitivity!B14</f>
        <v>60000</v>
      </c>
      <c r="C38" s="57" t="n">
        <f aca="false">MAX(0,MIN(1,(($B38*Assumptions!$B$6/1000000)*C$28-C$27-Assumptions!$B$21*Assumptions!$B$22*MAX(0,$B38*Assumptions!$B$6/1000000*C$28-Assumptions!$B$7)+Assumptions!$B$14-Waterfall!$C$17)/Waterfall!$B$18))</f>
        <v>1</v>
      </c>
      <c r="D38" s="57" t="n">
        <f aca="false">MAX(0,MIN(1,(($B38*Assumptions!$B$6/1000000)*D$28-D$27-Assumptions!$B$21*Assumptions!$B$22*MAX(0,$B38*Assumptions!$B$6/1000000*D$28-Assumptions!$B$7)+Assumptions!$B$14-Waterfall!$C$17)/Waterfall!$B$18))</f>
        <v>1</v>
      </c>
      <c r="E38" s="57" t="n">
        <f aca="false">MAX(0,MIN(1,(($B38*Assumptions!$B$6/1000000)*E$28-E$27-Assumptions!$B$21*Assumptions!$B$22*MAX(0,$B38*Assumptions!$B$6/1000000*E$28-Assumptions!$B$7)+Assumptions!$B$14-Waterfall!$C$17)/Waterfall!$B$18))</f>
        <v>1</v>
      </c>
      <c r="F38" s="57" t="n">
        <f aca="false">MAX(0,MIN(1,(($B38*Assumptions!$B$6/1000000)*F$28-F$27-Assumptions!$B$21*Assumptions!$B$22*MAX(0,$B38*Assumptions!$B$6/1000000*F$28-Assumptions!$B$7)+Assumptions!$B$14-Waterfall!$C$17)/Waterfall!$B$18))</f>
        <v>1</v>
      </c>
      <c r="G38" s="57" t="n">
        <f aca="false">MAX(0,MIN(1,(($B38*Assumptions!$B$6/1000000)*G$28-G$27-Assumptions!$B$21*Assumptions!$B$22*MAX(0,$B38*Assumptions!$B$6/1000000*G$28-Assumptions!$B$7)+Assumptions!$B$14-Waterfall!$C$17)/Waterfall!$B$18))</f>
        <v>1</v>
      </c>
      <c r="H38" s="57" t="n">
        <f aca="false">MAX(0,MIN(1,(($B38*Assumptions!$B$6/1000000)*H$28-H$27-Assumptions!$B$21*Assumptions!$B$22*MAX(0,$B38*Assumptions!$B$6/1000000*H$28-Assumptions!$B$7)+Assumptions!$B$14-Waterfall!$C$17)/Waterfall!$B$18))</f>
        <v>1</v>
      </c>
      <c r="I38" s="57" t="n">
        <f aca="false">MAX(0,MIN(1,(($B38*Assumptions!$B$6/1000000)*I$28-I$27-Assumptions!$B$21*Assumptions!$B$22*MAX(0,$B38*Assumptions!$B$6/1000000*I$28-Assumptions!$B$7)+Assumptions!$B$14-Waterfall!$C$17)/Waterfall!$B$18))</f>
        <v>1</v>
      </c>
      <c r="J38" s="57" t="n">
        <f aca="false">MAX(0,MIN(1,(($B38*Assumptions!$B$6/1000000)*J$28-J$27-Assumptions!$B$21*Assumptions!$B$22*MAX(0,$B38*Assumptions!$B$6/1000000*J$28-Assumptions!$B$7)+Assumptions!$B$14-Waterfall!$C$17)/Waterfall!$B$18))</f>
        <v>1</v>
      </c>
      <c r="K38" s="57" t="n">
        <f aca="false">MAX(0,MIN(1,(($B38*Assumptions!$B$6/1000000)*K$28-K$27-Assumptions!$B$21*Assumptions!$B$22*MAX(0,$B38*Assumptions!$B$6/1000000*K$28-Assumptions!$B$7)+Assumptions!$B$14-Waterfall!$C$17)/Waterfall!$B$18))</f>
        <v>1</v>
      </c>
      <c r="L38" s="57" t="n">
        <f aca="false">MAX(0,MIN(1,(($B38*Assumptions!$B$6/1000000)*L$28-L$27-Assumptions!$B$21*Assumptions!$B$22*MAX(0,$B38*Assumptions!$B$6/1000000*L$28-Assumptions!$B$7)+Assumptions!$B$14-Waterfall!$C$17)/Waterfall!$B$18))</f>
        <v>1</v>
      </c>
      <c r="M38" s="57" t="n">
        <f aca="false">MAX(0,MIN(1,(($B38*Assumptions!$B$6/1000000)*M$28-M$27-Assumptions!$B$21*Assumptions!$B$22*MAX(0,$B38*Assumptions!$B$6/1000000*M$28-Assumptions!$B$7)+Assumptions!$B$14-Waterfall!$C$17)/Waterfall!$B$18))</f>
        <v>1</v>
      </c>
      <c r="N38" s="57" t="n">
        <f aca="false">MAX(0,MIN(1,(($B38*Assumptions!$B$6/1000000)*N$28-N$27-Assumptions!$B$21*Assumptions!$B$22*MAX(0,$B38*Assumptions!$B$6/1000000*N$28-Assumptions!$B$7)+Assumptions!$B$14-Waterfall!$C$17)/Waterfall!$B$18))</f>
        <v>1</v>
      </c>
      <c r="O38" s="57" t="n">
        <f aca="false">MAX(0,MIN(1,(($B38*Assumptions!$B$6/1000000)*O$28-O$27-Assumptions!$B$21*Assumptions!$B$22*MAX(0,$B38*Assumptions!$B$6/1000000*O$28-Assumptions!$B$7)+Assumptions!$B$14-Waterfall!$C$17)/Waterfall!$B$18))</f>
        <v>1</v>
      </c>
      <c r="P38" s="57" t="n">
        <f aca="false">MAX(0,MIN(1,(($B38*Assumptions!$B$6/1000000)*P$28-P$27-Assumptions!$B$21*Assumptions!$B$22*MAX(0,$B38*Assumptions!$B$6/1000000*P$28-Assumptions!$B$7)+Assumptions!$B$14-Waterfall!$C$17)/Waterfall!$B$18))</f>
        <v>1</v>
      </c>
      <c r="Q38" s="57" t="n">
        <f aca="false">MAX(0,MIN(1,(($B38*Assumptions!$B$6/1000000)*Q$28-Q$27-Assumptions!$B$21*Assumptions!$B$22*MAX(0,$B38*Assumptions!$B$6/1000000*Q$28-Assumptions!$B$7)+Assumptions!$B$14-Waterfall!$C$17)/Waterfall!$B$18))</f>
        <v>1</v>
      </c>
    </row>
    <row r="39" customFormat="false" ht="15" hidden="false" customHeight="true" outlineLevel="0" collapsed="false">
      <c r="B39" s="39" t="n">
        <f aca="false">BTC_Sensitivity!B15</f>
        <v>65000</v>
      </c>
      <c r="C39" s="57" t="n">
        <f aca="false">MAX(0,MIN(1,(($B39*Assumptions!$B$6/1000000)*C$28-C$27-Assumptions!$B$21*Assumptions!$B$22*MAX(0,$B39*Assumptions!$B$6/1000000*C$28-Assumptions!$B$7)+Assumptions!$B$14-Waterfall!$C$17)/Waterfall!$B$18))</f>
        <v>1</v>
      </c>
      <c r="D39" s="57" t="n">
        <f aca="false">MAX(0,MIN(1,(($B39*Assumptions!$B$6/1000000)*D$28-D$27-Assumptions!$B$21*Assumptions!$B$22*MAX(0,$B39*Assumptions!$B$6/1000000*D$28-Assumptions!$B$7)+Assumptions!$B$14-Waterfall!$C$17)/Waterfall!$B$18))</f>
        <v>1</v>
      </c>
      <c r="E39" s="57" t="n">
        <f aca="false">MAX(0,MIN(1,(($B39*Assumptions!$B$6/1000000)*E$28-E$27-Assumptions!$B$21*Assumptions!$B$22*MAX(0,$B39*Assumptions!$B$6/1000000*E$28-Assumptions!$B$7)+Assumptions!$B$14-Waterfall!$C$17)/Waterfall!$B$18))</f>
        <v>1</v>
      </c>
      <c r="F39" s="57" t="n">
        <f aca="false">MAX(0,MIN(1,(($B39*Assumptions!$B$6/1000000)*F$28-F$27-Assumptions!$B$21*Assumptions!$B$22*MAX(0,$B39*Assumptions!$B$6/1000000*F$28-Assumptions!$B$7)+Assumptions!$B$14-Waterfall!$C$17)/Waterfall!$B$18))</f>
        <v>1</v>
      </c>
      <c r="G39" s="57" t="n">
        <f aca="false">MAX(0,MIN(1,(($B39*Assumptions!$B$6/1000000)*G$28-G$27-Assumptions!$B$21*Assumptions!$B$22*MAX(0,$B39*Assumptions!$B$6/1000000*G$28-Assumptions!$B$7)+Assumptions!$B$14-Waterfall!$C$17)/Waterfall!$B$18))</f>
        <v>1</v>
      </c>
      <c r="H39" s="57" t="n">
        <f aca="false">MAX(0,MIN(1,(($B39*Assumptions!$B$6/1000000)*H$28-H$27-Assumptions!$B$21*Assumptions!$B$22*MAX(0,$B39*Assumptions!$B$6/1000000*H$28-Assumptions!$B$7)+Assumptions!$B$14-Waterfall!$C$17)/Waterfall!$B$18))</f>
        <v>1</v>
      </c>
      <c r="I39" s="57" t="n">
        <f aca="false">MAX(0,MIN(1,(($B39*Assumptions!$B$6/1000000)*I$28-I$27-Assumptions!$B$21*Assumptions!$B$22*MAX(0,$B39*Assumptions!$B$6/1000000*I$28-Assumptions!$B$7)+Assumptions!$B$14-Waterfall!$C$17)/Waterfall!$B$18))</f>
        <v>1</v>
      </c>
      <c r="J39" s="57" t="n">
        <f aca="false">MAX(0,MIN(1,(($B39*Assumptions!$B$6/1000000)*J$28-J$27-Assumptions!$B$21*Assumptions!$B$22*MAX(0,$B39*Assumptions!$B$6/1000000*J$28-Assumptions!$B$7)+Assumptions!$B$14-Waterfall!$C$17)/Waterfall!$B$18))</f>
        <v>1</v>
      </c>
      <c r="K39" s="57" t="n">
        <f aca="false">MAX(0,MIN(1,(($B39*Assumptions!$B$6/1000000)*K$28-K$27-Assumptions!$B$21*Assumptions!$B$22*MAX(0,$B39*Assumptions!$B$6/1000000*K$28-Assumptions!$B$7)+Assumptions!$B$14-Waterfall!$C$17)/Waterfall!$B$18))</f>
        <v>1</v>
      </c>
      <c r="L39" s="57" t="n">
        <f aca="false">MAX(0,MIN(1,(($B39*Assumptions!$B$6/1000000)*L$28-L$27-Assumptions!$B$21*Assumptions!$B$22*MAX(0,$B39*Assumptions!$B$6/1000000*L$28-Assumptions!$B$7)+Assumptions!$B$14-Waterfall!$C$17)/Waterfall!$B$18))</f>
        <v>1</v>
      </c>
      <c r="M39" s="57" t="n">
        <f aca="false">MAX(0,MIN(1,(($B39*Assumptions!$B$6/1000000)*M$28-M$27-Assumptions!$B$21*Assumptions!$B$22*MAX(0,$B39*Assumptions!$B$6/1000000*M$28-Assumptions!$B$7)+Assumptions!$B$14-Waterfall!$C$17)/Waterfall!$B$18))</f>
        <v>1</v>
      </c>
      <c r="N39" s="57" t="n">
        <f aca="false">MAX(0,MIN(1,(($B39*Assumptions!$B$6/1000000)*N$28-N$27-Assumptions!$B$21*Assumptions!$B$22*MAX(0,$B39*Assumptions!$B$6/1000000*N$28-Assumptions!$B$7)+Assumptions!$B$14-Waterfall!$C$17)/Waterfall!$B$18))</f>
        <v>1</v>
      </c>
      <c r="O39" s="57" t="n">
        <f aca="false">MAX(0,MIN(1,(($B39*Assumptions!$B$6/1000000)*O$28-O$27-Assumptions!$B$21*Assumptions!$B$22*MAX(0,$B39*Assumptions!$B$6/1000000*O$28-Assumptions!$B$7)+Assumptions!$B$14-Waterfall!$C$17)/Waterfall!$B$18))</f>
        <v>1</v>
      </c>
      <c r="P39" s="57" t="n">
        <f aca="false">MAX(0,MIN(1,(($B39*Assumptions!$B$6/1000000)*P$28-P$27-Assumptions!$B$21*Assumptions!$B$22*MAX(0,$B39*Assumptions!$B$6/1000000*P$28-Assumptions!$B$7)+Assumptions!$B$14-Waterfall!$C$17)/Waterfall!$B$18))</f>
        <v>1</v>
      </c>
      <c r="Q39" s="57" t="n">
        <f aca="false">MAX(0,MIN(1,(($B39*Assumptions!$B$6/1000000)*Q$28-Q$27-Assumptions!$B$21*Assumptions!$B$22*MAX(0,$B39*Assumptions!$B$6/1000000*Q$28-Assumptions!$B$7)+Assumptions!$B$14-Waterfall!$C$17)/Waterfall!$B$18))</f>
        <v>1</v>
      </c>
    </row>
    <row r="40" customFormat="false" ht="15" hidden="false" customHeight="true" outlineLevel="0" collapsed="false">
      <c r="B40" s="39" t="n">
        <f aca="false">BTC_Sensitivity!B16</f>
        <v>70000</v>
      </c>
      <c r="C40" s="57" t="n">
        <f aca="false">MAX(0,MIN(1,(($B40*Assumptions!$B$6/1000000)*C$28-C$27-Assumptions!$B$21*Assumptions!$B$22*MAX(0,$B40*Assumptions!$B$6/1000000*C$28-Assumptions!$B$7)+Assumptions!$B$14-Waterfall!$C$17)/Waterfall!$B$18))</f>
        <v>1</v>
      </c>
      <c r="D40" s="57" t="n">
        <f aca="false">MAX(0,MIN(1,(($B40*Assumptions!$B$6/1000000)*D$28-D$27-Assumptions!$B$21*Assumptions!$B$22*MAX(0,$B40*Assumptions!$B$6/1000000*D$28-Assumptions!$B$7)+Assumptions!$B$14-Waterfall!$C$17)/Waterfall!$B$18))</f>
        <v>1</v>
      </c>
      <c r="E40" s="57" t="n">
        <f aca="false">MAX(0,MIN(1,(($B40*Assumptions!$B$6/1000000)*E$28-E$27-Assumptions!$B$21*Assumptions!$B$22*MAX(0,$B40*Assumptions!$B$6/1000000*E$28-Assumptions!$B$7)+Assumptions!$B$14-Waterfall!$C$17)/Waterfall!$B$18))</f>
        <v>1</v>
      </c>
      <c r="F40" s="57" t="n">
        <f aca="false">MAX(0,MIN(1,(($B40*Assumptions!$B$6/1000000)*F$28-F$27-Assumptions!$B$21*Assumptions!$B$22*MAX(0,$B40*Assumptions!$B$6/1000000*F$28-Assumptions!$B$7)+Assumptions!$B$14-Waterfall!$C$17)/Waterfall!$B$18))</f>
        <v>1</v>
      </c>
      <c r="G40" s="57" t="n">
        <f aca="false">MAX(0,MIN(1,(($B40*Assumptions!$B$6/1000000)*G$28-G$27-Assumptions!$B$21*Assumptions!$B$22*MAX(0,$B40*Assumptions!$B$6/1000000*G$28-Assumptions!$B$7)+Assumptions!$B$14-Waterfall!$C$17)/Waterfall!$B$18))</f>
        <v>1</v>
      </c>
      <c r="H40" s="57" t="n">
        <f aca="false">MAX(0,MIN(1,(($B40*Assumptions!$B$6/1000000)*H$28-H$27-Assumptions!$B$21*Assumptions!$B$22*MAX(0,$B40*Assumptions!$B$6/1000000*H$28-Assumptions!$B$7)+Assumptions!$B$14-Waterfall!$C$17)/Waterfall!$B$18))</f>
        <v>1</v>
      </c>
      <c r="I40" s="57" t="n">
        <f aca="false">MAX(0,MIN(1,(($B40*Assumptions!$B$6/1000000)*I$28-I$27-Assumptions!$B$21*Assumptions!$B$22*MAX(0,$B40*Assumptions!$B$6/1000000*I$28-Assumptions!$B$7)+Assumptions!$B$14-Waterfall!$C$17)/Waterfall!$B$18))</f>
        <v>1</v>
      </c>
      <c r="J40" s="57" t="n">
        <f aca="false">MAX(0,MIN(1,(($B40*Assumptions!$B$6/1000000)*J$28-J$27-Assumptions!$B$21*Assumptions!$B$22*MAX(0,$B40*Assumptions!$B$6/1000000*J$28-Assumptions!$B$7)+Assumptions!$B$14-Waterfall!$C$17)/Waterfall!$B$18))</f>
        <v>1</v>
      </c>
      <c r="K40" s="57" t="n">
        <f aca="false">MAX(0,MIN(1,(($B40*Assumptions!$B$6/1000000)*K$28-K$27-Assumptions!$B$21*Assumptions!$B$22*MAX(0,$B40*Assumptions!$B$6/1000000*K$28-Assumptions!$B$7)+Assumptions!$B$14-Waterfall!$C$17)/Waterfall!$B$18))</f>
        <v>1</v>
      </c>
      <c r="L40" s="57" t="n">
        <f aca="false">MAX(0,MIN(1,(($B40*Assumptions!$B$6/1000000)*L$28-L$27-Assumptions!$B$21*Assumptions!$B$22*MAX(0,$B40*Assumptions!$B$6/1000000*L$28-Assumptions!$B$7)+Assumptions!$B$14-Waterfall!$C$17)/Waterfall!$B$18))</f>
        <v>1</v>
      </c>
      <c r="M40" s="57" t="n">
        <f aca="false">MAX(0,MIN(1,(($B40*Assumptions!$B$6/1000000)*M$28-M$27-Assumptions!$B$21*Assumptions!$B$22*MAX(0,$B40*Assumptions!$B$6/1000000*M$28-Assumptions!$B$7)+Assumptions!$B$14-Waterfall!$C$17)/Waterfall!$B$18))</f>
        <v>1</v>
      </c>
      <c r="N40" s="57" t="n">
        <f aca="false">MAX(0,MIN(1,(($B40*Assumptions!$B$6/1000000)*N$28-N$27-Assumptions!$B$21*Assumptions!$B$22*MAX(0,$B40*Assumptions!$B$6/1000000*N$28-Assumptions!$B$7)+Assumptions!$B$14-Waterfall!$C$17)/Waterfall!$B$18))</f>
        <v>1</v>
      </c>
      <c r="O40" s="57" t="n">
        <f aca="false">MAX(0,MIN(1,(($B40*Assumptions!$B$6/1000000)*O$28-O$27-Assumptions!$B$21*Assumptions!$B$22*MAX(0,$B40*Assumptions!$B$6/1000000*O$28-Assumptions!$B$7)+Assumptions!$B$14-Waterfall!$C$17)/Waterfall!$B$18))</f>
        <v>1</v>
      </c>
      <c r="P40" s="57" t="n">
        <f aca="false">MAX(0,MIN(1,(($B40*Assumptions!$B$6/1000000)*P$28-P$27-Assumptions!$B$21*Assumptions!$B$22*MAX(0,$B40*Assumptions!$B$6/1000000*P$28-Assumptions!$B$7)+Assumptions!$B$14-Waterfall!$C$17)/Waterfall!$B$18))</f>
        <v>1</v>
      </c>
      <c r="Q40" s="57" t="n">
        <f aca="false">MAX(0,MIN(1,(($B40*Assumptions!$B$6/1000000)*Q$28-Q$27-Assumptions!$B$21*Assumptions!$B$22*MAX(0,$B40*Assumptions!$B$6/1000000*Q$28-Assumptions!$B$7)+Assumptions!$B$14-Waterfall!$C$17)/Waterfall!$B$18))</f>
        <v>1</v>
      </c>
    </row>
    <row r="41" customFormat="false" ht="15" hidden="false" customHeight="true" outlineLevel="0" collapsed="false">
      <c r="B41" s="39" t="n">
        <f aca="false">BTC_Sensitivity!B17</f>
        <v>80000</v>
      </c>
      <c r="C41" s="57" t="n">
        <f aca="false">MAX(0,MIN(1,(($B41*Assumptions!$B$6/1000000)*C$28-C$27-Assumptions!$B$21*Assumptions!$B$22*MAX(0,$B41*Assumptions!$B$6/1000000*C$28-Assumptions!$B$7)+Assumptions!$B$14-Waterfall!$C$17)/Waterfall!$B$18))</f>
        <v>1</v>
      </c>
      <c r="D41" s="57" t="n">
        <f aca="false">MAX(0,MIN(1,(($B41*Assumptions!$B$6/1000000)*D$28-D$27-Assumptions!$B$21*Assumptions!$B$22*MAX(0,$B41*Assumptions!$B$6/1000000*D$28-Assumptions!$B$7)+Assumptions!$B$14-Waterfall!$C$17)/Waterfall!$B$18))</f>
        <v>1</v>
      </c>
      <c r="E41" s="57" t="n">
        <f aca="false">MAX(0,MIN(1,(($B41*Assumptions!$B$6/1000000)*E$28-E$27-Assumptions!$B$21*Assumptions!$B$22*MAX(0,$B41*Assumptions!$B$6/1000000*E$28-Assumptions!$B$7)+Assumptions!$B$14-Waterfall!$C$17)/Waterfall!$B$18))</f>
        <v>1</v>
      </c>
      <c r="F41" s="57" t="n">
        <f aca="false">MAX(0,MIN(1,(($B41*Assumptions!$B$6/1000000)*F$28-F$27-Assumptions!$B$21*Assumptions!$B$22*MAX(0,$B41*Assumptions!$B$6/1000000*F$28-Assumptions!$B$7)+Assumptions!$B$14-Waterfall!$C$17)/Waterfall!$B$18))</f>
        <v>1</v>
      </c>
      <c r="G41" s="57" t="n">
        <f aca="false">MAX(0,MIN(1,(($B41*Assumptions!$B$6/1000000)*G$28-G$27-Assumptions!$B$21*Assumptions!$B$22*MAX(0,$B41*Assumptions!$B$6/1000000*G$28-Assumptions!$B$7)+Assumptions!$B$14-Waterfall!$C$17)/Waterfall!$B$18))</f>
        <v>1</v>
      </c>
      <c r="H41" s="57" t="n">
        <f aca="false">MAX(0,MIN(1,(($B41*Assumptions!$B$6/1000000)*H$28-H$27-Assumptions!$B$21*Assumptions!$B$22*MAX(0,$B41*Assumptions!$B$6/1000000*H$28-Assumptions!$B$7)+Assumptions!$B$14-Waterfall!$C$17)/Waterfall!$B$18))</f>
        <v>1</v>
      </c>
      <c r="I41" s="57" t="n">
        <f aca="false">MAX(0,MIN(1,(($B41*Assumptions!$B$6/1000000)*I$28-I$27-Assumptions!$B$21*Assumptions!$B$22*MAX(0,$B41*Assumptions!$B$6/1000000*I$28-Assumptions!$B$7)+Assumptions!$B$14-Waterfall!$C$17)/Waterfall!$B$18))</f>
        <v>1</v>
      </c>
      <c r="J41" s="57" t="n">
        <f aca="false">MAX(0,MIN(1,(($B41*Assumptions!$B$6/1000000)*J$28-J$27-Assumptions!$B$21*Assumptions!$B$22*MAX(0,$B41*Assumptions!$B$6/1000000*J$28-Assumptions!$B$7)+Assumptions!$B$14-Waterfall!$C$17)/Waterfall!$B$18))</f>
        <v>1</v>
      </c>
      <c r="K41" s="57" t="n">
        <f aca="false">MAX(0,MIN(1,(($B41*Assumptions!$B$6/1000000)*K$28-K$27-Assumptions!$B$21*Assumptions!$B$22*MAX(0,$B41*Assumptions!$B$6/1000000*K$28-Assumptions!$B$7)+Assumptions!$B$14-Waterfall!$C$17)/Waterfall!$B$18))</f>
        <v>1</v>
      </c>
      <c r="L41" s="57" t="n">
        <f aca="false">MAX(0,MIN(1,(($B41*Assumptions!$B$6/1000000)*L$28-L$27-Assumptions!$B$21*Assumptions!$B$22*MAX(0,$B41*Assumptions!$B$6/1000000*L$28-Assumptions!$B$7)+Assumptions!$B$14-Waterfall!$C$17)/Waterfall!$B$18))</f>
        <v>1</v>
      </c>
      <c r="M41" s="57" t="n">
        <f aca="false">MAX(0,MIN(1,(($B41*Assumptions!$B$6/1000000)*M$28-M$27-Assumptions!$B$21*Assumptions!$B$22*MAX(0,$B41*Assumptions!$B$6/1000000*M$28-Assumptions!$B$7)+Assumptions!$B$14-Waterfall!$C$17)/Waterfall!$B$18))</f>
        <v>1</v>
      </c>
      <c r="N41" s="57" t="n">
        <f aca="false">MAX(0,MIN(1,(($B41*Assumptions!$B$6/1000000)*N$28-N$27-Assumptions!$B$21*Assumptions!$B$22*MAX(0,$B41*Assumptions!$B$6/1000000*N$28-Assumptions!$B$7)+Assumptions!$B$14-Waterfall!$C$17)/Waterfall!$B$18))</f>
        <v>1</v>
      </c>
      <c r="O41" s="57" t="n">
        <f aca="false">MAX(0,MIN(1,(($B41*Assumptions!$B$6/1000000)*O$28-O$27-Assumptions!$B$21*Assumptions!$B$22*MAX(0,$B41*Assumptions!$B$6/1000000*O$28-Assumptions!$B$7)+Assumptions!$B$14-Waterfall!$C$17)/Waterfall!$B$18))</f>
        <v>1</v>
      </c>
      <c r="P41" s="57" t="n">
        <f aca="false">MAX(0,MIN(1,(($B41*Assumptions!$B$6/1000000)*P$28-P$27-Assumptions!$B$21*Assumptions!$B$22*MAX(0,$B41*Assumptions!$B$6/1000000*P$28-Assumptions!$B$7)+Assumptions!$B$14-Waterfall!$C$17)/Waterfall!$B$18))</f>
        <v>1</v>
      </c>
      <c r="Q41" s="57" t="n">
        <f aca="false">MAX(0,MIN(1,(($B41*Assumptions!$B$6/1000000)*Q$28-Q$27-Assumptions!$B$21*Assumptions!$B$22*MAX(0,$B41*Assumptions!$B$6/1000000*Q$28-Assumptions!$B$7)+Assumptions!$B$14-Waterfall!$C$17)/Waterfall!$B$18))</f>
        <v>1</v>
      </c>
    </row>
    <row r="42" customFormat="false" ht="15" hidden="false" customHeight="true" outlineLevel="0" collapsed="false">
      <c r="B42" s="39" t="n">
        <f aca="false">BTC_Sensitivity!B18</f>
        <v>90000</v>
      </c>
      <c r="C42" s="57" t="n">
        <f aca="false">MAX(0,MIN(1,(($B42*Assumptions!$B$6/1000000)*C$28-C$27-Assumptions!$B$21*Assumptions!$B$22*MAX(0,$B42*Assumptions!$B$6/1000000*C$28-Assumptions!$B$7)+Assumptions!$B$14-Waterfall!$C$17)/Waterfall!$B$18))</f>
        <v>1</v>
      </c>
      <c r="D42" s="57" t="n">
        <f aca="false">MAX(0,MIN(1,(($B42*Assumptions!$B$6/1000000)*D$28-D$27-Assumptions!$B$21*Assumptions!$B$22*MAX(0,$B42*Assumptions!$B$6/1000000*D$28-Assumptions!$B$7)+Assumptions!$B$14-Waterfall!$C$17)/Waterfall!$B$18))</f>
        <v>1</v>
      </c>
      <c r="E42" s="57" t="n">
        <f aca="false">MAX(0,MIN(1,(($B42*Assumptions!$B$6/1000000)*E$28-E$27-Assumptions!$B$21*Assumptions!$B$22*MAX(0,$B42*Assumptions!$B$6/1000000*E$28-Assumptions!$B$7)+Assumptions!$B$14-Waterfall!$C$17)/Waterfall!$B$18))</f>
        <v>1</v>
      </c>
      <c r="F42" s="57" t="n">
        <f aca="false">MAX(0,MIN(1,(($B42*Assumptions!$B$6/1000000)*F$28-F$27-Assumptions!$B$21*Assumptions!$B$22*MAX(0,$B42*Assumptions!$B$6/1000000*F$28-Assumptions!$B$7)+Assumptions!$B$14-Waterfall!$C$17)/Waterfall!$B$18))</f>
        <v>1</v>
      </c>
      <c r="G42" s="57" t="n">
        <f aca="false">MAX(0,MIN(1,(($B42*Assumptions!$B$6/1000000)*G$28-G$27-Assumptions!$B$21*Assumptions!$B$22*MAX(0,$B42*Assumptions!$B$6/1000000*G$28-Assumptions!$B$7)+Assumptions!$B$14-Waterfall!$C$17)/Waterfall!$B$18))</f>
        <v>1</v>
      </c>
      <c r="H42" s="57" t="n">
        <f aca="false">MAX(0,MIN(1,(($B42*Assumptions!$B$6/1000000)*H$28-H$27-Assumptions!$B$21*Assumptions!$B$22*MAX(0,$B42*Assumptions!$B$6/1000000*H$28-Assumptions!$B$7)+Assumptions!$B$14-Waterfall!$C$17)/Waterfall!$B$18))</f>
        <v>1</v>
      </c>
      <c r="I42" s="57" t="n">
        <f aca="false">MAX(0,MIN(1,(($B42*Assumptions!$B$6/1000000)*I$28-I$27-Assumptions!$B$21*Assumptions!$B$22*MAX(0,$B42*Assumptions!$B$6/1000000*I$28-Assumptions!$B$7)+Assumptions!$B$14-Waterfall!$C$17)/Waterfall!$B$18))</f>
        <v>1</v>
      </c>
      <c r="J42" s="57" t="n">
        <f aca="false">MAX(0,MIN(1,(($B42*Assumptions!$B$6/1000000)*J$28-J$27-Assumptions!$B$21*Assumptions!$B$22*MAX(0,$B42*Assumptions!$B$6/1000000*J$28-Assumptions!$B$7)+Assumptions!$B$14-Waterfall!$C$17)/Waterfall!$B$18))</f>
        <v>1</v>
      </c>
      <c r="K42" s="57" t="n">
        <f aca="false">MAX(0,MIN(1,(($B42*Assumptions!$B$6/1000000)*K$28-K$27-Assumptions!$B$21*Assumptions!$B$22*MAX(0,$B42*Assumptions!$B$6/1000000*K$28-Assumptions!$B$7)+Assumptions!$B$14-Waterfall!$C$17)/Waterfall!$B$18))</f>
        <v>1</v>
      </c>
      <c r="L42" s="57" t="n">
        <f aca="false">MAX(0,MIN(1,(($B42*Assumptions!$B$6/1000000)*L$28-L$27-Assumptions!$B$21*Assumptions!$B$22*MAX(0,$B42*Assumptions!$B$6/1000000*L$28-Assumptions!$B$7)+Assumptions!$B$14-Waterfall!$C$17)/Waterfall!$B$18))</f>
        <v>1</v>
      </c>
      <c r="M42" s="57" t="n">
        <f aca="false">MAX(0,MIN(1,(($B42*Assumptions!$B$6/1000000)*M$28-M$27-Assumptions!$B$21*Assumptions!$B$22*MAX(0,$B42*Assumptions!$B$6/1000000*M$28-Assumptions!$B$7)+Assumptions!$B$14-Waterfall!$C$17)/Waterfall!$B$18))</f>
        <v>1</v>
      </c>
      <c r="N42" s="57" t="n">
        <f aca="false">MAX(0,MIN(1,(($B42*Assumptions!$B$6/1000000)*N$28-N$27-Assumptions!$B$21*Assumptions!$B$22*MAX(0,$B42*Assumptions!$B$6/1000000*N$28-Assumptions!$B$7)+Assumptions!$B$14-Waterfall!$C$17)/Waterfall!$B$18))</f>
        <v>1</v>
      </c>
      <c r="O42" s="57" t="n">
        <f aca="false">MAX(0,MIN(1,(($B42*Assumptions!$B$6/1000000)*O$28-O$27-Assumptions!$B$21*Assumptions!$B$22*MAX(0,$B42*Assumptions!$B$6/1000000*O$28-Assumptions!$B$7)+Assumptions!$B$14-Waterfall!$C$17)/Waterfall!$B$18))</f>
        <v>1</v>
      </c>
      <c r="P42" s="57" t="n">
        <f aca="false">MAX(0,MIN(1,(($B42*Assumptions!$B$6/1000000)*P$28-P$27-Assumptions!$B$21*Assumptions!$B$22*MAX(0,$B42*Assumptions!$B$6/1000000*P$28-Assumptions!$B$7)+Assumptions!$B$14-Waterfall!$C$17)/Waterfall!$B$18))</f>
        <v>1</v>
      </c>
      <c r="Q42" s="57" t="n">
        <f aca="false">MAX(0,MIN(1,(($B42*Assumptions!$B$6/1000000)*Q$28-Q$27-Assumptions!$B$21*Assumptions!$B$22*MAX(0,$B42*Assumptions!$B$6/1000000*Q$28-Assumptions!$B$7)+Assumptions!$B$14-Waterfall!$C$17)/Waterfall!$B$18))</f>
        <v>1</v>
      </c>
    </row>
    <row r="43" customFormat="false" ht="15" hidden="false" customHeight="true" outlineLevel="0" collapsed="false">
      <c r="B43" s="39" t="n">
        <f aca="false">BTC_Sensitivity!B19</f>
        <v>100000</v>
      </c>
      <c r="C43" s="57" t="n">
        <f aca="false">MAX(0,MIN(1,(($B43*Assumptions!$B$6/1000000)*C$28-C$27-Assumptions!$B$21*Assumptions!$B$22*MAX(0,$B43*Assumptions!$B$6/1000000*C$28-Assumptions!$B$7)+Assumptions!$B$14-Waterfall!$C$17)/Waterfall!$B$18))</f>
        <v>1</v>
      </c>
      <c r="D43" s="57" t="n">
        <f aca="false">MAX(0,MIN(1,(($B43*Assumptions!$B$6/1000000)*D$28-D$27-Assumptions!$B$21*Assumptions!$B$22*MAX(0,$B43*Assumptions!$B$6/1000000*D$28-Assumptions!$B$7)+Assumptions!$B$14-Waterfall!$C$17)/Waterfall!$B$18))</f>
        <v>1</v>
      </c>
      <c r="E43" s="57" t="n">
        <f aca="false">MAX(0,MIN(1,(($B43*Assumptions!$B$6/1000000)*E$28-E$27-Assumptions!$B$21*Assumptions!$B$22*MAX(0,$B43*Assumptions!$B$6/1000000*E$28-Assumptions!$B$7)+Assumptions!$B$14-Waterfall!$C$17)/Waterfall!$B$18))</f>
        <v>1</v>
      </c>
      <c r="F43" s="57" t="n">
        <f aca="false">MAX(0,MIN(1,(($B43*Assumptions!$B$6/1000000)*F$28-F$27-Assumptions!$B$21*Assumptions!$B$22*MAX(0,$B43*Assumptions!$B$6/1000000*F$28-Assumptions!$B$7)+Assumptions!$B$14-Waterfall!$C$17)/Waterfall!$B$18))</f>
        <v>1</v>
      </c>
      <c r="G43" s="57" t="n">
        <f aca="false">MAX(0,MIN(1,(($B43*Assumptions!$B$6/1000000)*G$28-G$27-Assumptions!$B$21*Assumptions!$B$22*MAX(0,$B43*Assumptions!$B$6/1000000*G$28-Assumptions!$B$7)+Assumptions!$B$14-Waterfall!$C$17)/Waterfall!$B$18))</f>
        <v>1</v>
      </c>
      <c r="H43" s="57" t="n">
        <f aca="false">MAX(0,MIN(1,(($B43*Assumptions!$B$6/1000000)*H$28-H$27-Assumptions!$B$21*Assumptions!$B$22*MAX(0,$B43*Assumptions!$B$6/1000000*H$28-Assumptions!$B$7)+Assumptions!$B$14-Waterfall!$C$17)/Waterfall!$B$18))</f>
        <v>1</v>
      </c>
      <c r="I43" s="57" t="n">
        <f aca="false">MAX(0,MIN(1,(($B43*Assumptions!$B$6/1000000)*I$28-I$27-Assumptions!$B$21*Assumptions!$B$22*MAX(0,$B43*Assumptions!$B$6/1000000*I$28-Assumptions!$B$7)+Assumptions!$B$14-Waterfall!$C$17)/Waterfall!$B$18))</f>
        <v>1</v>
      </c>
      <c r="J43" s="57" t="n">
        <f aca="false">MAX(0,MIN(1,(($B43*Assumptions!$B$6/1000000)*J$28-J$27-Assumptions!$B$21*Assumptions!$B$22*MAX(0,$B43*Assumptions!$B$6/1000000*J$28-Assumptions!$B$7)+Assumptions!$B$14-Waterfall!$C$17)/Waterfall!$B$18))</f>
        <v>1</v>
      </c>
      <c r="K43" s="57" t="n">
        <f aca="false">MAX(0,MIN(1,(($B43*Assumptions!$B$6/1000000)*K$28-K$27-Assumptions!$B$21*Assumptions!$B$22*MAX(0,$B43*Assumptions!$B$6/1000000*K$28-Assumptions!$B$7)+Assumptions!$B$14-Waterfall!$C$17)/Waterfall!$B$18))</f>
        <v>1</v>
      </c>
      <c r="L43" s="57" t="n">
        <f aca="false">MAX(0,MIN(1,(($B43*Assumptions!$B$6/1000000)*L$28-L$27-Assumptions!$B$21*Assumptions!$B$22*MAX(0,$B43*Assumptions!$B$6/1000000*L$28-Assumptions!$B$7)+Assumptions!$B$14-Waterfall!$C$17)/Waterfall!$B$18))</f>
        <v>1</v>
      </c>
      <c r="M43" s="57" t="n">
        <f aca="false">MAX(0,MIN(1,(($B43*Assumptions!$B$6/1000000)*M$28-M$27-Assumptions!$B$21*Assumptions!$B$22*MAX(0,$B43*Assumptions!$B$6/1000000*M$28-Assumptions!$B$7)+Assumptions!$B$14-Waterfall!$C$17)/Waterfall!$B$18))</f>
        <v>1</v>
      </c>
      <c r="N43" s="57" t="n">
        <f aca="false">MAX(0,MIN(1,(($B43*Assumptions!$B$6/1000000)*N$28-N$27-Assumptions!$B$21*Assumptions!$B$22*MAX(0,$B43*Assumptions!$B$6/1000000*N$28-Assumptions!$B$7)+Assumptions!$B$14-Waterfall!$C$17)/Waterfall!$B$18))</f>
        <v>1</v>
      </c>
      <c r="O43" s="57" t="n">
        <f aca="false">MAX(0,MIN(1,(($B43*Assumptions!$B$6/1000000)*O$28-O$27-Assumptions!$B$21*Assumptions!$B$22*MAX(0,$B43*Assumptions!$B$6/1000000*O$28-Assumptions!$B$7)+Assumptions!$B$14-Waterfall!$C$17)/Waterfall!$B$18))</f>
        <v>1</v>
      </c>
      <c r="P43" s="57" t="n">
        <f aca="false">MAX(0,MIN(1,(($B43*Assumptions!$B$6/1000000)*P$28-P$27-Assumptions!$B$21*Assumptions!$B$22*MAX(0,$B43*Assumptions!$B$6/1000000*P$28-Assumptions!$B$7)+Assumptions!$B$14-Waterfall!$C$17)/Waterfall!$B$18))</f>
        <v>1</v>
      </c>
      <c r="Q43" s="57" t="n">
        <f aca="false">MAX(0,MIN(1,(($B43*Assumptions!$B$6/1000000)*Q$28-Q$27-Assumptions!$B$21*Assumptions!$B$22*MAX(0,$B43*Assumptions!$B$6/1000000*Q$28-Assumptions!$B$7)+Assumptions!$B$14-Waterfall!$C$17)/Waterfall!$B$18))</f>
        <v>1</v>
      </c>
    </row>
    <row r="44" customFormat="false" ht="15" hidden="false" customHeight="true" outlineLevel="0" collapsed="false">
      <c r="B44" s="39" t="n">
        <f aca="false">BTC_Sensitivity!B20</f>
        <v>125000</v>
      </c>
      <c r="C44" s="57" t="n">
        <f aca="false">MAX(0,MIN(1,(($B44*Assumptions!$B$6/1000000)*C$28-C$27-Assumptions!$B$21*Assumptions!$B$22*MAX(0,$B44*Assumptions!$B$6/1000000*C$28-Assumptions!$B$7)+Assumptions!$B$14-Waterfall!$C$17)/Waterfall!$B$18))</f>
        <v>1</v>
      </c>
      <c r="D44" s="57" t="n">
        <f aca="false">MAX(0,MIN(1,(($B44*Assumptions!$B$6/1000000)*D$28-D$27-Assumptions!$B$21*Assumptions!$B$22*MAX(0,$B44*Assumptions!$B$6/1000000*D$28-Assumptions!$B$7)+Assumptions!$B$14-Waterfall!$C$17)/Waterfall!$B$18))</f>
        <v>1</v>
      </c>
      <c r="E44" s="57" t="n">
        <f aca="false">MAX(0,MIN(1,(($B44*Assumptions!$B$6/1000000)*E$28-E$27-Assumptions!$B$21*Assumptions!$B$22*MAX(0,$B44*Assumptions!$B$6/1000000*E$28-Assumptions!$B$7)+Assumptions!$B$14-Waterfall!$C$17)/Waterfall!$B$18))</f>
        <v>1</v>
      </c>
      <c r="F44" s="57" t="n">
        <f aca="false">MAX(0,MIN(1,(($B44*Assumptions!$B$6/1000000)*F$28-F$27-Assumptions!$B$21*Assumptions!$B$22*MAX(0,$B44*Assumptions!$B$6/1000000*F$28-Assumptions!$B$7)+Assumptions!$B$14-Waterfall!$C$17)/Waterfall!$B$18))</f>
        <v>1</v>
      </c>
      <c r="G44" s="57" t="n">
        <f aca="false">MAX(0,MIN(1,(($B44*Assumptions!$B$6/1000000)*G$28-G$27-Assumptions!$B$21*Assumptions!$B$22*MAX(0,$B44*Assumptions!$B$6/1000000*G$28-Assumptions!$B$7)+Assumptions!$B$14-Waterfall!$C$17)/Waterfall!$B$18))</f>
        <v>1</v>
      </c>
      <c r="H44" s="57" t="n">
        <f aca="false">MAX(0,MIN(1,(($B44*Assumptions!$B$6/1000000)*H$28-H$27-Assumptions!$B$21*Assumptions!$B$22*MAX(0,$B44*Assumptions!$B$6/1000000*H$28-Assumptions!$B$7)+Assumptions!$B$14-Waterfall!$C$17)/Waterfall!$B$18))</f>
        <v>1</v>
      </c>
      <c r="I44" s="57" t="n">
        <f aca="false">MAX(0,MIN(1,(($B44*Assumptions!$B$6/1000000)*I$28-I$27-Assumptions!$B$21*Assumptions!$B$22*MAX(0,$B44*Assumptions!$B$6/1000000*I$28-Assumptions!$B$7)+Assumptions!$B$14-Waterfall!$C$17)/Waterfall!$B$18))</f>
        <v>1</v>
      </c>
      <c r="J44" s="57" t="n">
        <f aca="false">MAX(0,MIN(1,(($B44*Assumptions!$B$6/1000000)*J$28-J$27-Assumptions!$B$21*Assumptions!$B$22*MAX(0,$B44*Assumptions!$B$6/1000000*J$28-Assumptions!$B$7)+Assumptions!$B$14-Waterfall!$C$17)/Waterfall!$B$18))</f>
        <v>1</v>
      </c>
      <c r="K44" s="57" t="n">
        <f aca="false">MAX(0,MIN(1,(($B44*Assumptions!$B$6/1000000)*K$28-K$27-Assumptions!$B$21*Assumptions!$B$22*MAX(0,$B44*Assumptions!$B$6/1000000*K$28-Assumptions!$B$7)+Assumptions!$B$14-Waterfall!$C$17)/Waterfall!$B$18))</f>
        <v>1</v>
      </c>
      <c r="L44" s="57" t="n">
        <f aca="false">MAX(0,MIN(1,(($B44*Assumptions!$B$6/1000000)*L$28-L$27-Assumptions!$B$21*Assumptions!$B$22*MAX(0,$B44*Assumptions!$B$6/1000000*L$28-Assumptions!$B$7)+Assumptions!$B$14-Waterfall!$C$17)/Waterfall!$B$18))</f>
        <v>1</v>
      </c>
      <c r="M44" s="57" t="n">
        <f aca="false">MAX(0,MIN(1,(($B44*Assumptions!$B$6/1000000)*M$28-M$27-Assumptions!$B$21*Assumptions!$B$22*MAX(0,$B44*Assumptions!$B$6/1000000*M$28-Assumptions!$B$7)+Assumptions!$B$14-Waterfall!$C$17)/Waterfall!$B$18))</f>
        <v>1</v>
      </c>
      <c r="N44" s="57" t="n">
        <f aca="false">MAX(0,MIN(1,(($B44*Assumptions!$B$6/1000000)*N$28-N$27-Assumptions!$B$21*Assumptions!$B$22*MAX(0,$B44*Assumptions!$B$6/1000000*N$28-Assumptions!$B$7)+Assumptions!$B$14-Waterfall!$C$17)/Waterfall!$B$18))</f>
        <v>1</v>
      </c>
      <c r="O44" s="57" t="n">
        <f aca="false">MAX(0,MIN(1,(($B44*Assumptions!$B$6/1000000)*O$28-O$27-Assumptions!$B$21*Assumptions!$B$22*MAX(0,$B44*Assumptions!$B$6/1000000*O$28-Assumptions!$B$7)+Assumptions!$B$14-Waterfall!$C$17)/Waterfall!$B$18))</f>
        <v>1</v>
      </c>
      <c r="P44" s="57" t="n">
        <f aca="false">MAX(0,MIN(1,(($B44*Assumptions!$B$6/1000000)*P$28-P$27-Assumptions!$B$21*Assumptions!$B$22*MAX(0,$B44*Assumptions!$B$6/1000000*P$28-Assumptions!$B$7)+Assumptions!$B$14-Waterfall!$C$17)/Waterfall!$B$18))</f>
        <v>1</v>
      </c>
      <c r="Q44" s="57" t="n">
        <f aca="false">MAX(0,MIN(1,(($B44*Assumptions!$B$6/1000000)*Q$28-Q$27-Assumptions!$B$21*Assumptions!$B$22*MAX(0,$B44*Assumptions!$B$6/1000000*Q$28-Assumptions!$B$7)+Assumptions!$B$14-Waterfall!$C$17)/Waterfall!$B$18))</f>
        <v>1</v>
      </c>
    </row>
    <row r="45" customFormat="false" ht="15" hidden="false" customHeight="true" outlineLevel="0" collapsed="false">
      <c r="B45" s="39" t="n">
        <f aca="false">BTC_Sensitivity!B21</f>
        <v>150000</v>
      </c>
      <c r="C45" s="57" t="n">
        <f aca="false">MAX(0,MIN(1,(($B45*Assumptions!$B$6/1000000)*C$28-C$27-Assumptions!$B$21*Assumptions!$B$22*MAX(0,$B45*Assumptions!$B$6/1000000*C$28-Assumptions!$B$7)+Assumptions!$B$14-Waterfall!$C$17)/Waterfall!$B$18))</f>
        <v>1</v>
      </c>
      <c r="D45" s="57" t="n">
        <f aca="false">MAX(0,MIN(1,(($B45*Assumptions!$B$6/1000000)*D$28-D$27-Assumptions!$B$21*Assumptions!$B$22*MAX(0,$B45*Assumptions!$B$6/1000000*D$28-Assumptions!$B$7)+Assumptions!$B$14-Waterfall!$C$17)/Waterfall!$B$18))</f>
        <v>1</v>
      </c>
      <c r="E45" s="57" t="n">
        <f aca="false">MAX(0,MIN(1,(($B45*Assumptions!$B$6/1000000)*E$28-E$27-Assumptions!$B$21*Assumptions!$B$22*MAX(0,$B45*Assumptions!$B$6/1000000*E$28-Assumptions!$B$7)+Assumptions!$B$14-Waterfall!$C$17)/Waterfall!$B$18))</f>
        <v>1</v>
      </c>
      <c r="F45" s="57" t="n">
        <f aca="false">MAX(0,MIN(1,(($B45*Assumptions!$B$6/1000000)*F$28-F$27-Assumptions!$B$21*Assumptions!$B$22*MAX(0,$B45*Assumptions!$B$6/1000000*F$28-Assumptions!$B$7)+Assumptions!$B$14-Waterfall!$C$17)/Waterfall!$B$18))</f>
        <v>1</v>
      </c>
      <c r="G45" s="57" t="n">
        <f aca="false">MAX(0,MIN(1,(($B45*Assumptions!$B$6/1000000)*G$28-G$27-Assumptions!$B$21*Assumptions!$B$22*MAX(0,$B45*Assumptions!$B$6/1000000*G$28-Assumptions!$B$7)+Assumptions!$B$14-Waterfall!$C$17)/Waterfall!$B$18))</f>
        <v>1</v>
      </c>
      <c r="H45" s="57" t="n">
        <f aca="false">MAX(0,MIN(1,(($B45*Assumptions!$B$6/1000000)*H$28-H$27-Assumptions!$B$21*Assumptions!$B$22*MAX(0,$B45*Assumptions!$B$6/1000000*H$28-Assumptions!$B$7)+Assumptions!$B$14-Waterfall!$C$17)/Waterfall!$B$18))</f>
        <v>1</v>
      </c>
      <c r="I45" s="57" t="n">
        <f aca="false">MAX(0,MIN(1,(($B45*Assumptions!$B$6/1000000)*I$28-I$27-Assumptions!$B$21*Assumptions!$B$22*MAX(0,$B45*Assumptions!$B$6/1000000*I$28-Assumptions!$B$7)+Assumptions!$B$14-Waterfall!$C$17)/Waterfall!$B$18))</f>
        <v>1</v>
      </c>
      <c r="J45" s="57" t="n">
        <f aca="false">MAX(0,MIN(1,(($B45*Assumptions!$B$6/1000000)*J$28-J$27-Assumptions!$B$21*Assumptions!$B$22*MAX(0,$B45*Assumptions!$B$6/1000000*J$28-Assumptions!$B$7)+Assumptions!$B$14-Waterfall!$C$17)/Waterfall!$B$18))</f>
        <v>1</v>
      </c>
      <c r="K45" s="57" t="n">
        <f aca="false">MAX(0,MIN(1,(($B45*Assumptions!$B$6/1000000)*K$28-K$27-Assumptions!$B$21*Assumptions!$B$22*MAX(0,$B45*Assumptions!$B$6/1000000*K$28-Assumptions!$B$7)+Assumptions!$B$14-Waterfall!$C$17)/Waterfall!$B$18))</f>
        <v>1</v>
      </c>
      <c r="L45" s="57" t="n">
        <f aca="false">MAX(0,MIN(1,(($B45*Assumptions!$B$6/1000000)*L$28-L$27-Assumptions!$B$21*Assumptions!$B$22*MAX(0,$B45*Assumptions!$B$6/1000000*L$28-Assumptions!$B$7)+Assumptions!$B$14-Waterfall!$C$17)/Waterfall!$B$18))</f>
        <v>1</v>
      </c>
      <c r="M45" s="57" t="n">
        <f aca="false">MAX(0,MIN(1,(($B45*Assumptions!$B$6/1000000)*M$28-M$27-Assumptions!$B$21*Assumptions!$B$22*MAX(0,$B45*Assumptions!$B$6/1000000*M$28-Assumptions!$B$7)+Assumptions!$B$14-Waterfall!$C$17)/Waterfall!$B$18))</f>
        <v>1</v>
      </c>
      <c r="N45" s="57" t="n">
        <f aca="false">MAX(0,MIN(1,(($B45*Assumptions!$B$6/1000000)*N$28-N$27-Assumptions!$B$21*Assumptions!$B$22*MAX(0,$B45*Assumptions!$B$6/1000000*N$28-Assumptions!$B$7)+Assumptions!$B$14-Waterfall!$C$17)/Waterfall!$B$18))</f>
        <v>1</v>
      </c>
      <c r="O45" s="57" t="n">
        <f aca="false">MAX(0,MIN(1,(($B45*Assumptions!$B$6/1000000)*O$28-O$27-Assumptions!$B$21*Assumptions!$B$22*MAX(0,$B45*Assumptions!$B$6/1000000*O$28-Assumptions!$B$7)+Assumptions!$B$14-Waterfall!$C$17)/Waterfall!$B$18))</f>
        <v>1</v>
      </c>
      <c r="P45" s="57" t="n">
        <f aca="false">MAX(0,MIN(1,(($B45*Assumptions!$B$6/1000000)*P$28-P$27-Assumptions!$B$21*Assumptions!$B$22*MAX(0,$B45*Assumptions!$B$6/1000000*P$28-Assumptions!$B$7)+Assumptions!$B$14-Waterfall!$C$17)/Waterfall!$B$18))</f>
        <v>1</v>
      </c>
      <c r="Q45" s="57" t="n">
        <f aca="false">MAX(0,MIN(1,(($B45*Assumptions!$B$6/1000000)*Q$28-Q$27-Assumptions!$B$21*Assumptions!$B$22*MAX(0,$B45*Assumptions!$B$6/1000000*Q$28-Assumptions!$B$7)+Assumptions!$B$14-Waterfall!$C$17)/Waterfall!$B$18))</f>
        <v>1</v>
      </c>
    </row>
    <row r="46" customFormat="false" ht="15" hidden="false" customHeight="true" outlineLevel="0" collapsed="false">
      <c r="B46" s="39" t="n">
        <f aca="false">BTC_Sensitivity!B22</f>
        <v>200000</v>
      </c>
      <c r="C46" s="57" t="n">
        <f aca="false">MAX(0,MIN(1,(($B46*Assumptions!$B$6/1000000)*C$28-C$27-Assumptions!$B$21*Assumptions!$B$22*MAX(0,$B46*Assumptions!$B$6/1000000*C$28-Assumptions!$B$7)+Assumptions!$B$14-Waterfall!$C$17)/Waterfall!$B$18))</f>
        <v>1</v>
      </c>
      <c r="D46" s="57" t="n">
        <f aca="false">MAX(0,MIN(1,(($B46*Assumptions!$B$6/1000000)*D$28-D$27-Assumptions!$B$21*Assumptions!$B$22*MAX(0,$B46*Assumptions!$B$6/1000000*D$28-Assumptions!$B$7)+Assumptions!$B$14-Waterfall!$C$17)/Waterfall!$B$18))</f>
        <v>1</v>
      </c>
      <c r="E46" s="57" t="n">
        <f aca="false">MAX(0,MIN(1,(($B46*Assumptions!$B$6/1000000)*E$28-E$27-Assumptions!$B$21*Assumptions!$B$22*MAX(0,$B46*Assumptions!$B$6/1000000*E$28-Assumptions!$B$7)+Assumptions!$B$14-Waterfall!$C$17)/Waterfall!$B$18))</f>
        <v>1</v>
      </c>
      <c r="F46" s="57" t="n">
        <f aca="false">MAX(0,MIN(1,(($B46*Assumptions!$B$6/1000000)*F$28-F$27-Assumptions!$B$21*Assumptions!$B$22*MAX(0,$B46*Assumptions!$B$6/1000000*F$28-Assumptions!$B$7)+Assumptions!$B$14-Waterfall!$C$17)/Waterfall!$B$18))</f>
        <v>1</v>
      </c>
      <c r="G46" s="57" t="n">
        <f aca="false">MAX(0,MIN(1,(($B46*Assumptions!$B$6/1000000)*G$28-G$27-Assumptions!$B$21*Assumptions!$B$22*MAX(0,$B46*Assumptions!$B$6/1000000*G$28-Assumptions!$B$7)+Assumptions!$B$14-Waterfall!$C$17)/Waterfall!$B$18))</f>
        <v>1</v>
      </c>
      <c r="H46" s="57" t="n">
        <f aca="false">MAX(0,MIN(1,(($B46*Assumptions!$B$6/1000000)*H$28-H$27-Assumptions!$B$21*Assumptions!$B$22*MAX(0,$B46*Assumptions!$B$6/1000000*H$28-Assumptions!$B$7)+Assumptions!$B$14-Waterfall!$C$17)/Waterfall!$B$18))</f>
        <v>1</v>
      </c>
      <c r="I46" s="57" t="n">
        <f aca="false">MAX(0,MIN(1,(($B46*Assumptions!$B$6/1000000)*I$28-I$27-Assumptions!$B$21*Assumptions!$B$22*MAX(0,$B46*Assumptions!$B$6/1000000*I$28-Assumptions!$B$7)+Assumptions!$B$14-Waterfall!$C$17)/Waterfall!$B$18))</f>
        <v>1</v>
      </c>
      <c r="J46" s="57" t="n">
        <f aca="false">MAX(0,MIN(1,(($B46*Assumptions!$B$6/1000000)*J$28-J$27-Assumptions!$B$21*Assumptions!$B$22*MAX(0,$B46*Assumptions!$B$6/1000000*J$28-Assumptions!$B$7)+Assumptions!$B$14-Waterfall!$C$17)/Waterfall!$B$18))</f>
        <v>1</v>
      </c>
      <c r="K46" s="57" t="n">
        <f aca="false">MAX(0,MIN(1,(($B46*Assumptions!$B$6/1000000)*K$28-K$27-Assumptions!$B$21*Assumptions!$B$22*MAX(0,$B46*Assumptions!$B$6/1000000*K$28-Assumptions!$B$7)+Assumptions!$B$14-Waterfall!$C$17)/Waterfall!$B$18))</f>
        <v>1</v>
      </c>
      <c r="L46" s="57" t="n">
        <f aca="false">MAX(0,MIN(1,(($B46*Assumptions!$B$6/1000000)*L$28-L$27-Assumptions!$B$21*Assumptions!$B$22*MAX(0,$B46*Assumptions!$B$6/1000000*L$28-Assumptions!$B$7)+Assumptions!$B$14-Waterfall!$C$17)/Waterfall!$B$18))</f>
        <v>1</v>
      </c>
      <c r="M46" s="57" t="n">
        <f aca="false">MAX(0,MIN(1,(($B46*Assumptions!$B$6/1000000)*M$28-M$27-Assumptions!$B$21*Assumptions!$B$22*MAX(0,$B46*Assumptions!$B$6/1000000*M$28-Assumptions!$B$7)+Assumptions!$B$14-Waterfall!$C$17)/Waterfall!$B$18))</f>
        <v>1</v>
      </c>
      <c r="N46" s="57" t="n">
        <f aca="false">MAX(0,MIN(1,(($B46*Assumptions!$B$6/1000000)*N$28-N$27-Assumptions!$B$21*Assumptions!$B$22*MAX(0,$B46*Assumptions!$B$6/1000000*N$28-Assumptions!$B$7)+Assumptions!$B$14-Waterfall!$C$17)/Waterfall!$B$18))</f>
        <v>1</v>
      </c>
      <c r="O46" s="57" t="n">
        <f aca="false">MAX(0,MIN(1,(($B46*Assumptions!$B$6/1000000)*O$28-O$27-Assumptions!$B$21*Assumptions!$B$22*MAX(0,$B46*Assumptions!$B$6/1000000*O$28-Assumptions!$B$7)+Assumptions!$B$14-Waterfall!$C$17)/Waterfall!$B$18))</f>
        <v>1</v>
      </c>
      <c r="P46" s="57" t="n">
        <f aca="false">MAX(0,MIN(1,(($B46*Assumptions!$B$6/1000000)*P$28-P$27-Assumptions!$B$21*Assumptions!$B$22*MAX(0,$B46*Assumptions!$B$6/1000000*P$28-Assumptions!$B$7)+Assumptions!$B$14-Waterfall!$C$17)/Waterfall!$B$18))</f>
        <v>1</v>
      </c>
      <c r="Q46" s="57" t="n">
        <f aca="false">MAX(0,MIN(1,(($B46*Assumptions!$B$6/1000000)*Q$28-Q$27-Assumptions!$B$21*Assumptions!$B$22*MAX(0,$B46*Assumptions!$B$6/1000000*Q$28-Assumptions!$B$7)+Assumptions!$B$14-Waterfall!$C$17)/Waterfall!$B$18))</f>
        <v>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2026-07-10T20:32:31Z</dcterms:created>
  <dc:creator>openpyxl</dc:creator>
  <dc:description/>
  <dc:language>en-US</dc:language>
  <cp:lastModifiedBy/>
  <dcterms:modified xsi:type="dcterms:W3CDTF">2026-07-13T00:36:58Z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